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s.samaee\Desktop\"/>
    </mc:Choice>
  </mc:AlternateContent>
  <xr:revisionPtr revIDLastSave="0" documentId="13_ncr:1_{7BA3083D-733D-426A-97EA-A74D1750FBED}" xr6:coauthVersionLast="47" xr6:coauthVersionMax="47" xr10:uidLastSave="{00000000-0000-0000-0000-000000000000}"/>
  <bookViews>
    <workbookView xWindow="-108" yWindow="-108" windowWidth="23256" windowHeight="12576" tabRatio="863" activeTab="2" xr2:uid="{00000000-000D-0000-FFFF-FFFF00000000}"/>
  </bookViews>
  <sheets>
    <sheet name="روکش" sheetId="16" r:id="rId1"/>
    <sheet name=" سهام" sheetId="1" r:id="rId2"/>
    <sheet name="اوراق" sheetId="17" r:id="rId3"/>
    <sheet name="سپرده" sheetId="2" r:id="rId4"/>
    <sheet name="درآمدها" sheetId="11" r:id="rId5"/>
    <sheet name="سود اوراق بهادار و سپرده بانکی" sheetId="13" r:id="rId6"/>
    <sheet name="درآمد سود سهام" sheetId="18" r:id="rId7"/>
    <sheet name="درآمد ناشی ازفروش" sheetId="15" r:id="rId8"/>
    <sheet name="درآمد ناشی از تغییر قیمت اوراق " sheetId="14" r:id="rId9"/>
    <sheet name="درآمد سرمایه گذاری در سهام " sheetId="5" r:id="rId10"/>
    <sheet name="درآمد سرمایه گذاری در اوراق بها" sheetId="6" r:id="rId11"/>
    <sheet name="درآمد سپرده بانکی" sheetId="7" r:id="rId12"/>
    <sheet name="سایر درآمدها" sheetId="8" r:id="rId13"/>
  </sheets>
  <definedNames>
    <definedName name="_xlnm._FilterDatabase" localSheetId="1" hidden="1">' سهام'!$A$9:$W$9</definedName>
    <definedName name="_xlnm._FilterDatabase" localSheetId="11" hidden="1">'درآمد سپرده بانکی'!$A$7:$M$7</definedName>
    <definedName name="_xlnm._FilterDatabase" localSheetId="10" hidden="1">'درآمد سرمایه گذاری در اوراق بها'!$A$9:$Q$9</definedName>
    <definedName name="_xlnm._FilterDatabase" localSheetId="9" hidden="1">'درآمد سرمایه گذاری در سهام '!$C$10:$W$10</definedName>
    <definedName name="_xlnm._FilterDatabase" localSheetId="6" hidden="1">'درآمد سود سهام'!$A$7:$U$7</definedName>
    <definedName name="_xlnm._FilterDatabase" localSheetId="8" hidden="1">'درآمد ناشی از تغییر قیمت اوراق '!$C$6:$S$6</definedName>
    <definedName name="_xlnm._FilterDatabase" localSheetId="7" hidden="1">'درآمد ناشی ازفروش'!$C$7:$S$7</definedName>
    <definedName name="_xlnm._FilterDatabase" localSheetId="3" hidden="1">سپرده!$A$8:$S$8</definedName>
    <definedName name="_xlnm._FilterDatabase" localSheetId="5" hidden="1">'سود اوراق بهادار و سپرده بانکی'!$A$6:$Q$6</definedName>
    <definedName name="a">'درآمد ناشی از تغییر قیمت اوراق '!$B$7:$S$186</definedName>
    <definedName name="b">'درآمد ناشی ازفروش'!$B$8:$S$199</definedName>
    <definedName name="_xlnm.Print_Area" localSheetId="1">' سهام'!$A$1:$W$194</definedName>
    <definedName name="_xlnm.Print_Area" localSheetId="2">اوراق!$A$1:$AG$11</definedName>
    <definedName name="_xlnm.Print_Area" localSheetId="11">'درآمد سپرده بانکی'!$A$1:$L$12</definedName>
    <definedName name="_xlnm.Print_Area" localSheetId="10">'درآمد سرمایه گذاری در اوراق بها'!$A$1:$Q$12</definedName>
    <definedName name="_xlnm.Print_Area" localSheetId="9">'درآمد سرمایه گذاری در سهام '!$C$1:$W$204</definedName>
    <definedName name="_xlnm.Print_Area" localSheetId="6">'درآمد سود سهام'!$B$1:$T$89</definedName>
    <definedName name="_xlnm.Print_Area" localSheetId="8">'درآمد ناشی از تغییر قیمت اوراق '!$C$1:$S$189</definedName>
    <definedName name="_xlnm.Print_Area" localSheetId="7">'درآمد ناشی ازفروش'!$C$1:$S$203</definedName>
    <definedName name="_xlnm.Print_Area" localSheetId="4">درآمدها!$A$1:$I$11</definedName>
    <definedName name="_xlnm.Print_Area" localSheetId="0">روکش!$A$1:$I$33</definedName>
    <definedName name="_xlnm.Print_Area" localSheetId="12">'سایر درآمدها'!$A$1:$E$12</definedName>
    <definedName name="_xlnm.Print_Area" localSheetId="3">سپرده!$A$1:$S$14</definedName>
    <definedName name="_xlnm.Print_Area" localSheetId="5">'سود اوراق بهادار و سپرده بانکی'!$A$1:$Q$12</definedName>
    <definedName name="_xlnm.Print_Titles" localSheetId="1">' سهام'!$7:$9</definedName>
    <definedName name="_xlnm.Print_Titles" localSheetId="9">'درآمد سرمایه گذاری در سهام '!$7:$10</definedName>
    <definedName name="_xlnm.Print_Titles" localSheetId="8">'درآمد ناشی از تغییر قیمت اوراق '!$5:$6</definedName>
    <definedName name="_xlnm.Print_Titles" localSheetId="7">'درآمد ناشی ازفروش'!$6:$7</definedName>
    <definedName name="تحققنیافته">'درآمد ناشی از تغییر قیمت اوراق '!$B$7:$S$185</definedName>
    <definedName name="درآمدسودسهام">'درآمد سود سهام'!$A$8:$T$87</definedName>
    <definedName name="سود">'درآمد سود سهام'!$A$8:$T$69</definedName>
    <definedName name="فروش">'درآمد ناشی ازفروش'!$B$8:$S$199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35" i="5" l="1"/>
  <c r="G7" i="11"/>
  <c r="I8" i="11"/>
  <c r="I9" i="11"/>
  <c r="I11" i="11" s="1"/>
  <c r="I10" i="11"/>
  <c r="I7" i="11"/>
  <c r="I15" i="7"/>
  <c r="I12" i="5"/>
  <c r="G13" i="5"/>
  <c r="I13" i="5"/>
  <c r="G14" i="5"/>
  <c r="I14" i="5"/>
  <c r="G15" i="5"/>
  <c r="I15" i="5"/>
  <c r="G16" i="5"/>
  <c r="I16" i="5"/>
  <c r="G17" i="5"/>
  <c r="I17" i="5"/>
  <c r="G18" i="5"/>
  <c r="I18" i="5"/>
  <c r="G19" i="5"/>
  <c r="I19" i="5"/>
  <c r="G20" i="5"/>
  <c r="I20" i="5"/>
  <c r="G21" i="5"/>
  <c r="I21" i="5"/>
  <c r="G22" i="5"/>
  <c r="I22" i="5"/>
  <c r="G23" i="5"/>
  <c r="I23" i="5"/>
  <c r="G24" i="5"/>
  <c r="I24" i="5"/>
  <c r="G25" i="5"/>
  <c r="I25" i="5"/>
  <c r="G26" i="5"/>
  <c r="I26" i="5"/>
  <c r="G27" i="5"/>
  <c r="I27" i="5"/>
  <c r="G28" i="5"/>
  <c r="I28" i="5"/>
  <c r="G29" i="5"/>
  <c r="I29" i="5"/>
  <c r="G30" i="5"/>
  <c r="I30" i="5"/>
  <c r="G31" i="5"/>
  <c r="I31" i="5"/>
  <c r="G32" i="5"/>
  <c r="I32" i="5"/>
  <c r="G33" i="5"/>
  <c r="I33" i="5"/>
  <c r="G34" i="5"/>
  <c r="I34" i="5"/>
  <c r="G35" i="5"/>
  <c r="I35" i="5"/>
  <c r="G36" i="5"/>
  <c r="I36" i="5"/>
  <c r="G37" i="5"/>
  <c r="I37" i="5"/>
  <c r="G38" i="5"/>
  <c r="I38" i="5"/>
  <c r="G39" i="5"/>
  <c r="I39" i="5"/>
  <c r="G40" i="5"/>
  <c r="I40" i="5"/>
  <c r="G41" i="5"/>
  <c r="I41" i="5"/>
  <c r="G42" i="5"/>
  <c r="I42" i="5"/>
  <c r="I43" i="5"/>
  <c r="G44" i="5"/>
  <c r="I44" i="5"/>
  <c r="G45" i="5"/>
  <c r="I45" i="5"/>
  <c r="G46" i="5"/>
  <c r="I46" i="5"/>
  <c r="G47" i="5"/>
  <c r="I47" i="5"/>
  <c r="G48" i="5"/>
  <c r="I48" i="5"/>
  <c r="G49" i="5"/>
  <c r="I49" i="5"/>
  <c r="G50" i="5"/>
  <c r="I50" i="5"/>
  <c r="G51" i="5"/>
  <c r="I51" i="5"/>
  <c r="G52" i="5"/>
  <c r="I52" i="5"/>
  <c r="G53" i="5"/>
  <c r="I53" i="5"/>
  <c r="G54" i="5"/>
  <c r="I54" i="5"/>
  <c r="G55" i="5"/>
  <c r="I55" i="5"/>
  <c r="G56" i="5"/>
  <c r="I56" i="5"/>
  <c r="G57" i="5"/>
  <c r="I57" i="5"/>
  <c r="G58" i="5"/>
  <c r="I58" i="5"/>
  <c r="G59" i="5"/>
  <c r="I59" i="5"/>
  <c r="G60" i="5"/>
  <c r="I60" i="5"/>
  <c r="I61" i="5"/>
  <c r="G62" i="5"/>
  <c r="I62" i="5"/>
  <c r="G63" i="5"/>
  <c r="I63" i="5"/>
  <c r="G64" i="5"/>
  <c r="I64" i="5"/>
  <c r="G65" i="5"/>
  <c r="I65" i="5"/>
  <c r="G66" i="5"/>
  <c r="I66" i="5"/>
  <c r="G67" i="5"/>
  <c r="I67" i="5"/>
  <c r="G68" i="5"/>
  <c r="I68" i="5"/>
  <c r="G69" i="5"/>
  <c r="I69" i="5"/>
  <c r="G70" i="5"/>
  <c r="I70" i="5"/>
  <c r="G71" i="5"/>
  <c r="I71" i="5"/>
  <c r="G72" i="5"/>
  <c r="I72" i="5"/>
  <c r="G73" i="5"/>
  <c r="I73" i="5"/>
  <c r="G74" i="5"/>
  <c r="I74" i="5"/>
  <c r="G75" i="5"/>
  <c r="I75" i="5"/>
  <c r="G76" i="5"/>
  <c r="I76" i="5"/>
  <c r="G77" i="5"/>
  <c r="I77" i="5"/>
  <c r="G78" i="5"/>
  <c r="I78" i="5"/>
  <c r="G79" i="5"/>
  <c r="I79" i="5"/>
  <c r="G80" i="5"/>
  <c r="I80" i="5"/>
  <c r="G81" i="5"/>
  <c r="I81" i="5"/>
  <c r="G82" i="5"/>
  <c r="I82" i="5"/>
  <c r="G83" i="5"/>
  <c r="I83" i="5"/>
  <c r="G84" i="5"/>
  <c r="I84" i="5"/>
  <c r="G85" i="5"/>
  <c r="I85" i="5"/>
  <c r="G86" i="5"/>
  <c r="I86" i="5"/>
  <c r="G87" i="5"/>
  <c r="I87" i="5"/>
  <c r="G88" i="5"/>
  <c r="I88" i="5"/>
  <c r="G89" i="5"/>
  <c r="I89" i="5"/>
  <c r="G90" i="5"/>
  <c r="I90" i="5"/>
  <c r="G91" i="5"/>
  <c r="I91" i="5"/>
  <c r="G92" i="5"/>
  <c r="I92" i="5"/>
  <c r="G93" i="5"/>
  <c r="I93" i="5"/>
  <c r="G94" i="5"/>
  <c r="I94" i="5"/>
  <c r="G95" i="5"/>
  <c r="I95" i="5"/>
  <c r="G96" i="5"/>
  <c r="I96" i="5"/>
  <c r="G97" i="5"/>
  <c r="I97" i="5"/>
  <c r="G98" i="5"/>
  <c r="I98" i="5"/>
  <c r="G99" i="5"/>
  <c r="I99" i="5"/>
  <c r="I100" i="5"/>
  <c r="G101" i="5"/>
  <c r="I101" i="5"/>
  <c r="G102" i="5"/>
  <c r="I102" i="5"/>
  <c r="G103" i="5"/>
  <c r="I103" i="5"/>
  <c r="G104" i="5"/>
  <c r="I104" i="5"/>
  <c r="G105" i="5"/>
  <c r="I105" i="5"/>
  <c r="G106" i="5"/>
  <c r="I106" i="5"/>
  <c r="G107" i="5"/>
  <c r="I108" i="5"/>
  <c r="G109" i="5"/>
  <c r="I109" i="5"/>
  <c r="I110" i="5"/>
  <c r="G111" i="5"/>
  <c r="I111" i="5"/>
  <c r="G113" i="5"/>
  <c r="I113" i="5"/>
  <c r="G114" i="5"/>
  <c r="I114" i="5"/>
  <c r="I115" i="5"/>
  <c r="G116" i="5"/>
  <c r="I116" i="5"/>
  <c r="I117" i="5"/>
  <c r="G118" i="5"/>
  <c r="I118" i="5"/>
  <c r="G119" i="5"/>
  <c r="I119" i="5"/>
  <c r="G120" i="5"/>
  <c r="I120" i="5"/>
  <c r="G121" i="5"/>
  <c r="I121" i="5"/>
  <c r="G122" i="5"/>
  <c r="I122" i="5"/>
  <c r="G123" i="5"/>
  <c r="I123" i="5"/>
  <c r="G124" i="5"/>
  <c r="I124" i="5"/>
  <c r="G125" i="5"/>
  <c r="I125" i="5"/>
  <c r="G126" i="5"/>
  <c r="I126" i="5"/>
  <c r="I127" i="5"/>
  <c r="G128" i="5"/>
  <c r="I128" i="5"/>
  <c r="G129" i="5"/>
  <c r="I129" i="5"/>
  <c r="G130" i="5"/>
  <c r="I130" i="5"/>
  <c r="G131" i="5"/>
  <c r="I131" i="5"/>
  <c r="G132" i="5"/>
  <c r="I132" i="5"/>
  <c r="G133" i="5"/>
  <c r="I133" i="5"/>
  <c r="G134" i="5"/>
  <c r="I134" i="5"/>
  <c r="G135" i="5"/>
  <c r="I135" i="5"/>
  <c r="G136" i="5"/>
  <c r="I136" i="5"/>
  <c r="G137" i="5"/>
  <c r="I137" i="5"/>
  <c r="G138" i="5"/>
  <c r="I138" i="5"/>
  <c r="G139" i="5"/>
  <c r="I139" i="5"/>
  <c r="G140" i="5"/>
  <c r="I140" i="5"/>
  <c r="G141" i="5"/>
  <c r="I141" i="5"/>
  <c r="G142" i="5"/>
  <c r="I142" i="5"/>
  <c r="G143" i="5"/>
  <c r="I143" i="5"/>
  <c r="G144" i="5"/>
  <c r="I144" i="5"/>
  <c r="G145" i="5"/>
  <c r="I145" i="5"/>
  <c r="G146" i="5"/>
  <c r="I146" i="5"/>
  <c r="I147" i="5"/>
  <c r="G148" i="5"/>
  <c r="I148" i="5"/>
  <c r="G149" i="5"/>
  <c r="I149" i="5"/>
  <c r="G150" i="5"/>
  <c r="I150" i="5"/>
  <c r="G151" i="5"/>
  <c r="I151" i="5"/>
  <c r="G152" i="5"/>
  <c r="I152" i="5"/>
  <c r="G153" i="5"/>
  <c r="I153" i="5"/>
  <c r="G154" i="5"/>
  <c r="I154" i="5"/>
  <c r="G155" i="5"/>
  <c r="I155" i="5"/>
  <c r="G156" i="5"/>
  <c r="I156" i="5"/>
  <c r="G157" i="5"/>
  <c r="I157" i="5"/>
  <c r="G158" i="5"/>
  <c r="I158" i="5"/>
  <c r="G159" i="5"/>
  <c r="I159" i="5"/>
  <c r="G160" i="5"/>
  <c r="I160" i="5"/>
  <c r="G161" i="5"/>
  <c r="I161" i="5"/>
  <c r="G162" i="5"/>
  <c r="I162" i="5"/>
  <c r="G163" i="5"/>
  <c r="I163" i="5"/>
  <c r="G164" i="5"/>
  <c r="I164" i="5"/>
  <c r="G165" i="5"/>
  <c r="I165" i="5"/>
  <c r="G166" i="5"/>
  <c r="I166" i="5"/>
  <c r="G167" i="5"/>
  <c r="I167" i="5"/>
  <c r="G168" i="5"/>
  <c r="I168" i="5"/>
  <c r="G169" i="5"/>
  <c r="I169" i="5"/>
  <c r="G170" i="5"/>
  <c r="I170" i="5"/>
  <c r="G171" i="5"/>
  <c r="I171" i="5"/>
  <c r="G172" i="5"/>
  <c r="I172" i="5"/>
  <c r="G173" i="5"/>
  <c r="I173" i="5"/>
  <c r="G174" i="5"/>
  <c r="I174" i="5"/>
  <c r="G175" i="5"/>
  <c r="I175" i="5"/>
  <c r="G176" i="5"/>
  <c r="I176" i="5"/>
  <c r="I177" i="5"/>
  <c r="G178" i="5"/>
  <c r="I178" i="5"/>
  <c r="I179" i="5"/>
  <c r="G180" i="5"/>
  <c r="I180" i="5"/>
  <c r="G181" i="5"/>
  <c r="I181" i="5"/>
  <c r="G182" i="5"/>
  <c r="I182" i="5"/>
  <c r="G183" i="5"/>
  <c r="I183" i="5"/>
  <c r="G184" i="5"/>
  <c r="I184" i="5"/>
  <c r="G185" i="5"/>
  <c r="I185" i="5"/>
  <c r="G186" i="5"/>
  <c r="I186" i="5"/>
  <c r="G187" i="5"/>
  <c r="I187" i="5"/>
  <c r="G188" i="5"/>
  <c r="I188" i="5"/>
  <c r="G189" i="5"/>
  <c r="I189" i="5"/>
  <c r="G190" i="5"/>
  <c r="I190" i="5"/>
  <c r="G191" i="5"/>
  <c r="I191" i="5"/>
  <c r="G192" i="5"/>
  <c r="I192" i="5"/>
  <c r="G193" i="5"/>
  <c r="I193" i="5"/>
  <c r="G194" i="5"/>
  <c r="I194" i="5"/>
  <c r="G195" i="5"/>
  <c r="I195" i="5"/>
  <c r="G196" i="5"/>
  <c r="I196" i="5"/>
  <c r="G197" i="5"/>
  <c r="I197" i="5"/>
  <c r="G198" i="5"/>
  <c r="I198" i="5"/>
  <c r="G199" i="5"/>
  <c r="I199" i="5"/>
  <c r="G200" i="5"/>
  <c r="I200" i="5"/>
  <c r="G201" i="5"/>
  <c r="I201" i="5"/>
  <c r="G202" i="5"/>
  <c r="I202" i="5"/>
  <c r="I11" i="5"/>
  <c r="G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S30" i="5"/>
  <c r="S31" i="5"/>
  <c r="S32" i="5"/>
  <c r="S33" i="5"/>
  <c r="S34" i="5"/>
  <c r="S35" i="5"/>
  <c r="S36" i="5"/>
  <c r="S37" i="5"/>
  <c r="S38" i="5"/>
  <c r="S39" i="5"/>
  <c r="S40" i="5"/>
  <c r="S41" i="5"/>
  <c r="S42" i="5"/>
  <c r="S43" i="5"/>
  <c r="S44" i="5"/>
  <c r="S45" i="5"/>
  <c r="S46" i="5"/>
  <c r="S47" i="5"/>
  <c r="S48" i="5"/>
  <c r="S49" i="5"/>
  <c r="S50" i="5"/>
  <c r="S51" i="5"/>
  <c r="S52" i="5"/>
  <c r="S53" i="5"/>
  <c r="S54" i="5"/>
  <c r="S55" i="5"/>
  <c r="S56" i="5"/>
  <c r="S57" i="5"/>
  <c r="S58" i="5"/>
  <c r="S59" i="5"/>
  <c r="S60" i="5"/>
  <c r="S61" i="5"/>
  <c r="S62" i="5"/>
  <c r="S63" i="5"/>
  <c r="S64" i="5"/>
  <c r="S65" i="5"/>
  <c r="S66" i="5"/>
  <c r="S67" i="5"/>
  <c r="S68" i="5"/>
  <c r="S69" i="5"/>
  <c r="S70" i="5"/>
  <c r="S71" i="5"/>
  <c r="S72" i="5"/>
  <c r="S73" i="5"/>
  <c r="S74" i="5"/>
  <c r="S75" i="5"/>
  <c r="S76" i="5"/>
  <c r="S77" i="5"/>
  <c r="S78" i="5"/>
  <c r="S79" i="5"/>
  <c r="S80" i="5"/>
  <c r="S81" i="5"/>
  <c r="S82" i="5"/>
  <c r="S83" i="5"/>
  <c r="S84" i="5"/>
  <c r="S85" i="5"/>
  <c r="S86" i="5"/>
  <c r="S87" i="5"/>
  <c r="S88" i="5"/>
  <c r="S89" i="5"/>
  <c r="S90" i="5"/>
  <c r="S91" i="5"/>
  <c r="S92" i="5"/>
  <c r="S93" i="5"/>
  <c r="S94" i="5"/>
  <c r="S95" i="5"/>
  <c r="S96" i="5"/>
  <c r="S97" i="5"/>
  <c r="S98" i="5"/>
  <c r="S99" i="5"/>
  <c r="S100" i="5"/>
  <c r="S101" i="5"/>
  <c r="S102" i="5"/>
  <c r="S103" i="5"/>
  <c r="S104" i="5"/>
  <c r="S105" i="5"/>
  <c r="S106" i="5"/>
  <c r="S108" i="5"/>
  <c r="S109" i="5"/>
  <c r="S110" i="5"/>
  <c r="S111" i="5"/>
  <c r="S113" i="5"/>
  <c r="S114" i="5"/>
  <c r="S115" i="5"/>
  <c r="S116" i="5"/>
  <c r="S117" i="5"/>
  <c r="S118" i="5"/>
  <c r="S119" i="5"/>
  <c r="S120" i="5"/>
  <c r="S121" i="5"/>
  <c r="S122" i="5"/>
  <c r="S123" i="5"/>
  <c r="S124" i="5"/>
  <c r="S125" i="5"/>
  <c r="S126" i="5"/>
  <c r="S127" i="5"/>
  <c r="S128" i="5"/>
  <c r="S129" i="5"/>
  <c r="S130" i="5"/>
  <c r="S131" i="5"/>
  <c r="S132" i="5"/>
  <c r="S133" i="5"/>
  <c r="S134" i="5"/>
  <c r="S135" i="5"/>
  <c r="S136" i="5"/>
  <c r="S137" i="5"/>
  <c r="S138" i="5"/>
  <c r="S139" i="5"/>
  <c r="S140" i="5"/>
  <c r="S141" i="5"/>
  <c r="S142" i="5"/>
  <c r="S143" i="5"/>
  <c r="S144" i="5"/>
  <c r="S145" i="5"/>
  <c r="S146" i="5"/>
  <c r="S147" i="5"/>
  <c r="S148" i="5"/>
  <c r="S149" i="5"/>
  <c r="S150" i="5"/>
  <c r="S151" i="5"/>
  <c r="S152" i="5"/>
  <c r="S153" i="5"/>
  <c r="S154" i="5"/>
  <c r="S155" i="5"/>
  <c r="S156" i="5"/>
  <c r="S157" i="5"/>
  <c r="S158" i="5"/>
  <c r="S159" i="5"/>
  <c r="S160" i="5"/>
  <c r="S161" i="5"/>
  <c r="S162" i="5"/>
  <c r="S163" i="5"/>
  <c r="S164" i="5"/>
  <c r="S165" i="5"/>
  <c r="S166" i="5"/>
  <c r="S167" i="5"/>
  <c r="S168" i="5"/>
  <c r="S169" i="5"/>
  <c r="S170" i="5"/>
  <c r="S171" i="5"/>
  <c r="S172" i="5"/>
  <c r="S173" i="5"/>
  <c r="S174" i="5"/>
  <c r="S175" i="5"/>
  <c r="S176" i="5"/>
  <c r="S177" i="5"/>
  <c r="S178" i="5"/>
  <c r="S179" i="5"/>
  <c r="S180" i="5"/>
  <c r="S181" i="5"/>
  <c r="S182" i="5"/>
  <c r="S183" i="5"/>
  <c r="S184" i="5"/>
  <c r="S185" i="5"/>
  <c r="S186" i="5"/>
  <c r="S187" i="5"/>
  <c r="S188" i="5"/>
  <c r="S189" i="5"/>
  <c r="S190" i="5"/>
  <c r="S191" i="5"/>
  <c r="S192" i="5"/>
  <c r="S193" i="5"/>
  <c r="S194" i="5"/>
  <c r="S195" i="5"/>
  <c r="S196" i="5"/>
  <c r="S197" i="5"/>
  <c r="S198" i="5"/>
  <c r="S199" i="5"/>
  <c r="S200" i="5"/>
  <c r="S201" i="5"/>
  <c r="S202" i="5"/>
  <c r="S11" i="5"/>
  <c r="Q208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4" i="5"/>
  <c r="Q45" i="5"/>
  <c r="Q46" i="5"/>
  <c r="Q47" i="5"/>
  <c r="Q48" i="5"/>
  <c r="Q49" i="5"/>
  <c r="Q50" i="5"/>
  <c r="Q51" i="5"/>
  <c r="Q52" i="5"/>
  <c r="Q53" i="5"/>
  <c r="Q54" i="5"/>
  <c r="Q55" i="5"/>
  <c r="Q56" i="5"/>
  <c r="Q57" i="5"/>
  <c r="Q58" i="5"/>
  <c r="Q59" i="5"/>
  <c r="Q60" i="5"/>
  <c r="Q62" i="5"/>
  <c r="Q63" i="5"/>
  <c r="Q64" i="5"/>
  <c r="Q65" i="5"/>
  <c r="Q66" i="5"/>
  <c r="Q67" i="5"/>
  <c r="Q68" i="5"/>
  <c r="Q69" i="5"/>
  <c r="Q70" i="5"/>
  <c r="Q71" i="5"/>
  <c r="Q72" i="5"/>
  <c r="Q73" i="5"/>
  <c r="Q74" i="5"/>
  <c r="Q75" i="5"/>
  <c r="Q76" i="5"/>
  <c r="Q77" i="5"/>
  <c r="Q78" i="5"/>
  <c r="Q79" i="5"/>
  <c r="Q80" i="5"/>
  <c r="Q81" i="5"/>
  <c r="Q82" i="5"/>
  <c r="Q83" i="5"/>
  <c r="Q84" i="5"/>
  <c r="Q85" i="5"/>
  <c r="Q86" i="5"/>
  <c r="Q87" i="5"/>
  <c r="Q88" i="5"/>
  <c r="Q89" i="5"/>
  <c r="Q90" i="5"/>
  <c r="Q91" i="5"/>
  <c r="Q92" i="5"/>
  <c r="Q93" i="5"/>
  <c r="Q94" i="5"/>
  <c r="Q95" i="5"/>
  <c r="Q96" i="5"/>
  <c r="Q97" i="5"/>
  <c r="Q98" i="5"/>
  <c r="Q99" i="5"/>
  <c r="Q101" i="5"/>
  <c r="Q102" i="5"/>
  <c r="Q103" i="5"/>
  <c r="Q104" i="5"/>
  <c r="Q105" i="5"/>
  <c r="Q106" i="5"/>
  <c r="Q107" i="5"/>
  <c r="Q109" i="5"/>
  <c r="Q111" i="5"/>
  <c r="Q113" i="5"/>
  <c r="Q114" i="5"/>
  <c r="Q116" i="5"/>
  <c r="Q118" i="5"/>
  <c r="Q119" i="5"/>
  <c r="Q120" i="5"/>
  <c r="Q121" i="5"/>
  <c r="Q122" i="5"/>
  <c r="Q123" i="5"/>
  <c r="Q124" i="5"/>
  <c r="Q125" i="5"/>
  <c r="Q126" i="5"/>
  <c r="Q128" i="5"/>
  <c r="Q129" i="5"/>
  <c r="Q130" i="5"/>
  <c r="Q131" i="5"/>
  <c r="Q132" i="5"/>
  <c r="Q133" i="5"/>
  <c r="Q134" i="5"/>
  <c r="Q135" i="5"/>
  <c r="Q136" i="5"/>
  <c r="Q137" i="5"/>
  <c r="Q138" i="5"/>
  <c r="Q139" i="5"/>
  <c r="Q140" i="5"/>
  <c r="Q141" i="5"/>
  <c r="Q142" i="5"/>
  <c r="Q143" i="5"/>
  <c r="Q144" i="5"/>
  <c r="Q145" i="5"/>
  <c r="Q146" i="5"/>
  <c r="Q148" i="5"/>
  <c r="Q149" i="5"/>
  <c r="Q150" i="5"/>
  <c r="Q151" i="5"/>
  <c r="Q152" i="5"/>
  <c r="Q153" i="5"/>
  <c r="Q154" i="5"/>
  <c r="Q155" i="5"/>
  <c r="Q156" i="5"/>
  <c r="Q157" i="5"/>
  <c r="Q158" i="5"/>
  <c r="Q159" i="5"/>
  <c r="Q160" i="5"/>
  <c r="Q161" i="5"/>
  <c r="Q162" i="5"/>
  <c r="Q163" i="5"/>
  <c r="Q164" i="5"/>
  <c r="Q165" i="5"/>
  <c r="Q166" i="5"/>
  <c r="Q167" i="5"/>
  <c r="Q168" i="5"/>
  <c r="Q169" i="5"/>
  <c r="Q170" i="5"/>
  <c r="Q171" i="5"/>
  <c r="Q172" i="5"/>
  <c r="Q173" i="5"/>
  <c r="Q174" i="5"/>
  <c r="Q175" i="5"/>
  <c r="Q176" i="5"/>
  <c r="Q178" i="5"/>
  <c r="Q180" i="5"/>
  <c r="Q181" i="5"/>
  <c r="Q182" i="5"/>
  <c r="Q183" i="5"/>
  <c r="Q184" i="5"/>
  <c r="Q185" i="5"/>
  <c r="Q186" i="5"/>
  <c r="Q187" i="5"/>
  <c r="Q188" i="5"/>
  <c r="Q189" i="5"/>
  <c r="Q190" i="5"/>
  <c r="Q191" i="5"/>
  <c r="Q192" i="5"/>
  <c r="Q193" i="5"/>
  <c r="Q194" i="5"/>
  <c r="Q195" i="5"/>
  <c r="Q196" i="5"/>
  <c r="Q197" i="5"/>
  <c r="Q198" i="5"/>
  <c r="Q199" i="5"/>
  <c r="Q200" i="5"/>
  <c r="Q201" i="5"/>
  <c r="Q202" i="5"/>
  <c r="Q11" i="5"/>
  <c r="Q93" i="14"/>
  <c r="Q114" i="14"/>
  <c r="S114" i="14" s="1"/>
  <c r="X114" i="14" s="1"/>
  <c r="Q206" i="14"/>
  <c r="S206" i="14" s="1"/>
  <c r="X206" i="14" s="1"/>
  <c r="Q205" i="14"/>
  <c r="S205" i="14" s="1"/>
  <c r="X205" i="14" s="1"/>
  <c r="I63" i="15"/>
  <c r="I198" i="14"/>
  <c r="I197" i="14"/>
  <c r="I196" i="14"/>
  <c r="I195" i="14"/>
  <c r="I201" i="14"/>
  <c r="K201" i="14" s="1"/>
  <c r="V201" i="14" s="1"/>
  <c r="I33" i="15"/>
  <c r="I204" i="14"/>
  <c r="K204" i="14" s="1"/>
  <c r="V204" i="14" s="1"/>
  <c r="I203" i="14"/>
  <c r="K203" i="14" s="1"/>
  <c r="V203" i="14" s="1"/>
  <c r="I165" i="15"/>
  <c r="I202" i="14"/>
  <c r="K202" i="14" s="1"/>
  <c r="V202" i="14" s="1"/>
  <c r="I196" i="15"/>
  <c r="K8" i="14"/>
  <c r="V8" i="14" s="1"/>
  <c r="K9" i="14"/>
  <c r="V9" i="14" s="1"/>
  <c r="K10" i="14"/>
  <c r="V10" i="14" s="1"/>
  <c r="K11" i="14"/>
  <c r="K12" i="14"/>
  <c r="V12" i="14" s="1"/>
  <c r="K13" i="14"/>
  <c r="V13" i="14" s="1"/>
  <c r="K14" i="14"/>
  <c r="V14" i="14" s="1"/>
  <c r="K15" i="14"/>
  <c r="V15" i="14" s="1"/>
  <c r="K16" i="14"/>
  <c r="V16" i="14" s="1"/>
  <c r="K17" i="14"/>
  <c r="V17" i="14" s="1"/>
  <c r="K18" i="14"/>
  <c r="V18" i="14" s="1"/>
  <c r="K19" i="14"/>
  <c r="V19" i="14" s="1"/>
  <c r="K20" i="14"/>
  <c r="V20" i="14" s="1"/>
  <c r="K21" i="14"/>
  <c r="V21" i="14" s="1"/>
  <c r="K22" i="14"/>
  <c r="V22" i="14" s="1"/>
  <c r="K23" i="14"/>
  <c r="V23" i="14" s="1"/>
  <c r="K24" i="14"/>
  <c r="V24" i="14" s="1"/>
  <c r="K25" i="14"/>
  <c r="V25" i="14" s="1"/>
  <c r="K26" i="14"/>
  <c r="V26" i="14" s="1"/>
  <c r="K27" i="14"/>
  <c r="V27" i="14" s="1"/>
  <c r="K28" i="14"/>
  <c r="V28" i="14" s="1"/>
  <c r="K29" i="14"/>
  <c r="V29" i="14" s="1"/>
  <c r="K30" i="14"/>
  <c r="V30" i="14" s="1"/>
  <c r="K31" i="14"/>
  <c r="V31" i="14" s="1"/>
  <c r="K32" i="14"/>
  <c r="V32" i="14" s="1"/>
  <c r="K33" i="14"/>
  <c r="V33" i="14" s="1"/>
  <c r="K34" i="14"/>
  <c r="V34" i="14" s="1"/>
  <c r="K35" i="14"/>
  <c r="V35" i="14" s="1"/>
  <c r="K36" i="14"/>
  <c r="V36" i="14" s="1"/>
  <c r="K37" i="14"/>
  <c r="V37" i="14" s="1"/>
  <c r="K38" i="14"/>
  <c r="V38" i="14" s="1"/>
  <c r="K39" i="14"/>
  <c r="V39" i="14" s="1"/>
  <c r="K40" i="14"/>
  <c r="V40" i="14" s="1"/>
  <c r="K41" i="14"/>
  <c r="V41" i="14" s="1"/>
  <c r="K42" i="14"/>
  <c r="V42" i="14" s="1"/>
  <c r="K43" i="14"/>
  <c r="V43" i="14" s="1"/>
  <c r="K44" i="14"/>
  <c r="V44" i="14" s="1"/>
  <c r="K45" i="14"/>
  <c r="V45" i="14" s="1"/>
  <c r="K46" i="14"/>
  <c r="V46" i="14" s="1"/>
  <c r="K47" i="14"/>
  <c r="V47" i="14" s="1"/>
  <c r="K48" i="14"/>
  <c r="V48" i="14" s="1"/>
  <c r="K49" i="14"/>
  <c r="V49" i="14" s="1"/>
  <c r="K50" i="14"/>
  <c r="V50" i="14" s="1"/>
  <c r="K51" i="14"/>
  <c r="V51" i="14" s="1"/>
  <c r="K52" i="14"/>
  <c r="V52" i="14" s="1"/>
  <c r="K53" i="14"/>
  <c r="V53" i="14" s="1"/>
  <c r="K54" i="14"/>
  <c r="V54" i="14" s="1"/>
  <c r="K55" i="14"/>
  <c r="V55" i="14" s="1"/>
  <c r="K56" i="14"/>
  <c r="V56" i="14" s="1"/>
  <c r="K57" i="14"/>
  <c r="V57" i="14" s="1"/>
  <c r="K58" i="14"/>
  <c r="V58" i="14" s="1"/>
  <c r="K59" i="14"/>
  <c r="V59" i="14" s="1"/>
  <c r="K60" i="14"/>
  <c r="V60" i="14" s="1"/>
  <c r="K61" i="14"/>
  <c r="V61" i="14" s="1"/>
  <c r="K62" i="14"/>
  <c r="V62" i="14" s="1"/>
  <c r="K63" i="14"/>
  <c r="V63" i="14" s="1"/>
  <c r="K64" i="14"/>
  <c r="V64" i="14" s="1"/>
  <c r="K65" i="14"/>
  <c r="V65" i="14" s="1"/>
  <c r="K66" i="14"/>
  <c r="V66" i="14" s="1"/>
  <c r="K67" i="14"/>
  <c r="V67" i="14" s="1"/>
  <c r="K68" i="14"/>
  <c r="V68" i="14" s="1"/>
  <c r="K69" i="14"/>
  <c r="V69" i="14" s="1"/>
  <c r="K70" i="14"/>
  <c r="V70" i="14" s="1"/>
  <c r="K71" i="14"/>
  <c r="V71" i="14" s="1"/>
  <c r="K72" i="14"/>
  <c r="V72" i="14" s="1"/>
  <c r="K73" i="14"/>
  <c r="V73" i="14" s="1"/>
  <c r="K74" i="14"/>
  <c r="V74" i="14" s="1"/>
  <c r="K75" i="14"/>
  <c r="V75" i="14" s="1"/>
  <c r="K76" i="14"/>
  <c r="V76" i="14" s="1"/>
  <c r="K77" i="14"/>
  <c r="V77" i="14" s="1"/>
  <c r="K78" i="14"/>
  <c r="V78" i="14" s="1"/>
  <c r="K79" i="14"/>
  <c r="V79" i="14" s="1"/>
  <c r="K80" i="14"/>
  <c r="V80" i="14" s="1"/>
  <c r="K81" i="14"/>
  <c r="V81" i="14" s="1"/>
  <c r="K82" i="14"/>
  <c r="V82" i="14" s="1"/>
  <c r="K83" i="14"/>
  <c r="V83" i="14" s="1"/>
  <c r="K84" i="14"/>
  <c r="V84" i="14" s="1"/>
  <c r="K85" i="14"/>
  <c r="V85" i="14" s="1"/>
  <c r="K86" i="14"/>
  <c r="V86" i="14" s="1"/>
  <c r="K87" i="14"/>
  <c r="V87" i="14" s="1"/>
  <c r="K88" i="14"/>
  <c r="V88" i="14" s="1"/>
  <c r="K89" i="14"/>
  <c r="V89" i="14" s="1"/>
  <c r="K90" i="14"/>
  <c r="V90" i="14" s="1"/>
  <c r="K91" i="14"/>
  <c r="V91" i="14" s="1"/>
  <c r="K92" i="14"/>
  <c r="V92" i="14" s="1"/>
  <c r="K205" i="14"/>
  <c r="V205" i="14" s="1"/>
  <c r="K93" i="14"/>
  <c r="V93" i="14" s="1"/>
  <c r="K94" i="14"/>
  <c r="V94" i="14" s="1"/>
  <c r="K95" i="14"/>
  <c r="V95" i="14" s="1"/>
  <c r="K96" i="14"/>
  <c r="V96" i="14" s="1"/>
  <c r="K97" i="14"/>
  <c r="V97" i="14" s="1"/>
  <c r="K98" i="14"/>
  <c r="V98" i="14" s="1"/>
  <c r="K99" i="14"/>
  <c r="V99" i="14" s="1"/>
  <c r="K100" i="14"/>
  <c r="V100" i="14" s="1"/>
  <c r="K101" i="14"/>
  <c r="V101" i="14" s="1"/>
  <c r="K102" i="14"/>
  <c r="V102" i="14" s="1"/>
  <c r="K103" i="14"/>
  <c r="V103" i="14" s="1"/>
  <c r="K104" i="14"/>
  <c r="V104" i="14" s="1"/>
  <c r="K105" i="14"/>
  <c r="V105" i="14" s="1"/>
  <c r="K106" i="14"/>
  <c r="V106" i="14" s="1"/>
  <c r="K107" i="14"/>
  <c r="V107" i="14" s="1"/>
  <c r="K108" i="14"/>
  <c r="V108" i="14" s="1"/>
  <c r="K109" i="14"/>
  <c r="V109" i="14" s="1"/>
  <c r="K110" i="14"/>
  <c r="V110" i="14" s="1"/>
  <c r="K111" i="14"/>
  <c r="V111" i="14" s="1"/>
  <c r="K112" i="14"/>
  <c r="V112" i="14" s="1"/>
  <c r="K113" i="14"/>
  <c r="V113" i="14" s="1"/>
  <c r="K206" i="14"/>
  <c r="V206" i="14" s="1"/>
  <c r="K114" i="14"/>
  <c r="V114" i="14" s="1"/>
  <c r="K115" i="14"/>
  <c r="V115" i="14" s="1"/>
  <c r="K116" i="14"/>
  <c r="V116" i="14" s="1"/>
  <c r="K117" i="14"/>
  <c r="V117" i="14" s="1"/>
  <c r="K118" i="14"/>
  <c r="V118" i="14" s="1"/>
  <c r="K119" i="14"/>
  <c r="V119" i="14" s="1"/>
  <c r="K120" i="14"/>
  <c r="V120" i="14" s="1"/>
  <c r="K121" i="14"/>
  <c r="V121" i="14" s="1"/>
  <c r="K122" i="14"/>
  <c r="V122" i="14" s="1"/>
  <c r="K123" i="14"/>
  <c r="V123" i="14" s="1"/>
  <c r="K124" i="14"/>
  <c r="V124" i="14" s="1"/>
  <c r="K125" i="14"/>
  <c r="V125" i="14" s="1"/>
  <c r="K126" i="14"/>
  <c r="V126" i="14" s="1"/>
  <c r="K127" i="14"/>
  <c r="V127" i="14" s="1"/>
  <c r="K128" i="14"/>
  <c r="V128" i="14" s="1"/>
  <c r="K129" i="14"/>
  <c r="V129" i="14" s="1"/>
  <c r="K130" i="14"/>
  <c r="V130" i="14" s="1"/>
  <c r="K131" i="14"/>
  <c r="V131" i="14" s="1"/>
  <c r="K132" i="14"/>
  <c r="V132" i="14" s="1"/>
  <c r="K133" i="14"/>
  <c r="V133" i="14" s="1"/>
  <c r="K134" i="14"/>
  <c r="V134" i="14" s="1"/>
  <c r="K135" i="14"/>
  <c r="V135" i="14" s="1"/>
  <c r="K136" i="14"/>
  <c r="V136" i="14" s="1"/>
  <c r="K137" i="14"/>
  <c r="V137" i="14" s="1"/>
  <c r="K138" i="14"/>
  <c r="V138" i="14" s="1"/>
  <c r="K139" i="14"/>
  <c r="K140" i="14"/>
  <c r="V140" i="14" s="1"/>
  <c r="K141" i="14"/>
  <c r="V141" i="14" s="1"/>
  <c r="K142" i="14"/>
  <c r="V142" i="14" s="1"/>
  <c r="K143" i="14"/>
  <c r="V143" i="14" s="1"/>
  <c r="K144" i="14"/>
  <c r="V144" i="14" s="1"/>
  <c r="K145" i="14"/>
  <c r="V145" i="14" s="1"/>
  <c r="K146" i="14"/>
  <c r="V146" i="14" s="1"/>
  <c r="K147" i="14"/>
  <c r="V147" i="14" s="1"/>
  <c r="K148" i="14"/>
  <c r="V148" i="14" s="1"/>
  <c r="K149" i="14"/>
  <c r="V149" i="14" s="1"/>
  <c r="K150" i="14"/>
  <c r="V150" i="14" s="1"/>
  <c r="K151" i="14"/>
  <c r="V151" i="14" s="1"/>
  <c r="K152" i="14"/>
  <c r="V152" i="14" s="1"/>
  <c r="K153" i="14"/>
  <c r="V153" i="14" s="1"/>
  <c r="K154" i="14"/>
  <c r="V154" i="14" s="1"/>
  <c r="K155" i="14"/>
  <c r="V155" i="14" s="1"/>
  <c r="K156" i="14"/>
  <c r="V156" i="14" s="1"/>
  <c r="K157" i="14"/>
  <c r="V157" i="14" s="1"/>
  <c r="K158" i="14"/>
  <c r="V158" i="14" s="1"/>
  <c r="K159" i="14"/>
  <c r="V159" i="14" s="1"/>
  <c r="K160" i="14"/>
  <c r="V160" i="14" s="1"/>
  <c r="K161" i="14"/>
  <c r="V161" i="14" s="1"/>
  <c r="K162" i="14"/>
  <c r="V162" i="14" s="1"/>
  <c r="K163" i="14"/>
  <c r="V163" i="14" s="1"/>
  <c r="K164" i="14"/>
  <c r="V164" i="14" s="1"/>
  <c r="K165" i="14"/>
  <c r="V165" i="14" s="1"/>
  <c r="K166" i="14"/>
  <c r="V166" i="14" s="1"/>
  <c r="K167" i="14"/>
  <c r="V167" i="14" s="1"/>
  <c r="K168" i="14"/>
  <c r="V168" i="14" s="1"/>
  <c r="K169" i="14"/>
  <c r="V169" i="14" s="1"/>
  <c r="K170" i="14"/>
  <c r="V170" i="14" s="1"/>
  <c r="K171" i="14"/>
  <c r="V171" i="14" s="1"/>
  <c r="K172" i="14"/>
  <c r="V172" i="14" s="1"/>
  <c r="K173" i="14"/>
  <c r="V173" i="14" s="1"/>
  <c r="K174" i="14"/>
  <c r="V174" i="14" s="1"/>
  <c r="K175" i="14"/>
  <c r="V175" i="14" s="1"/>
  <c r="K176" i="14"/>
  <c r="V176" i="14" s="1"/>
  <c r="K177" i="14"/>
  <c r="V177" i="14" s="1"/>
  <c r="K178" i="14"/>
  <c r="V178" i="14" s="1"/>
  <c r="K179" i="14"/>
  <c r="V179" i="14" s="1"/>
  <c r="K180" i="14"/>
  <c r="V180" i="14" s="1"/>
  <c r="K181" i="14"/>
  <c r="V181" i="14" s="1"/>
  <c r="K182" i="14"/>
  <c r="V182" i="14" s="1"/>
  <c r="K183" i="14"/>
  <c r="V183" i="14" s="1"/>
  <c r="K184" i="14"/>
  <c r="V184" i="14" s="1"/>
  <c r="K185" i="14"/>
  <c r="V185" i="14" s="1"/>
  <c r="K7" i="14"/>
  <c r="V7" i="14" s="1"/>
  <c r="V139" i="14"/>
  <c r="V11" i="14"/>
  <c r="S201" i="14"/>
  <c r="X201" i="14" s="1"/>
  <c r="S8" i="14"/>
  <c r="X8" i="14" s="1"/>
  <c r="S9" i="14"/>
  <c r="X9" i="14" s="1"/>
  <c r="S10" i="14"/>
  <c r="X10" i="14" s="1"/>
  <c r="S11" i="14"/>
  <c r="X11" i="14" s="1"/>
  <c r="S12" i="14"/>
  <c r="X12" i="14" s="1"/>
  <c r="S13" i="14"/>
  <c r="X13" i="14" s="1"/>
  <c r="S14" i="14"/>
  <c r="X14" i="14" s="1"/>
  <c r="S15" i="14"/>
  <c r="X15" i="14" s="1"/>
  <c r="S16" i="14"/>
  <c r="X16" i="14" s="1"/>
  <c r="S17" i="14"/>
  <c r="X17" i="14" s="1"/>
  <c r="S18" i="14"/>
  <c r="X18" i="14" s="1"/>
  <c r="S19" i="14"/>
  <c r="X19" i="14" s="1"/>
  <c r="S20" i="14"/>
  <c r="X20" i="14" s="1"/>
  <c r="S21" i="14"/>
  <c r="X21" i="14" s="1"/>
  <c r="S22" i="14"/>
  <c r="X22" i="14" s="1"/>
  <c r="S23" i="14"/>
  <c r="X23" i="14" s="1"/>
  <c r="S24" i="14"/>
  <c r="X24" i="14" s="1"/>
  <c r="S25" i="14"/>
  <c r="X25" i="14" s="1"/>
  <c r="S26" i="14"/>
  <c r="X26" i="14" s="1"/>
  <c r="S27" i="14"/>
  <c r="X27" i="14" s="1"/>
  <c r="S28" i="14"/>
  <c r="X28" i="14" s="1"/>
  <c r="S29" i="14"/>
  <c r="X29" i="14" s="1"/>
  <c r="S30" i="14"/>
  <c r="X30" i="14" s="1"/>
  <c r="S31" i="14"/>
  <c r="X31" i="14" s="1"/>
  <c r="S32" i="14"/>
  <c r="X32" i="14" s="1"/>
  <c r="S33" i="14"/>
  <c r="X33" i="14" s="1"/>
  <c r="S34" i="14"/>
  <c r="X34" i="14" s="1"/>
  <c r="S35" i="14"/>
  <c r="X35" i="14" s="1"/>
  <c r="S36" i="14"/>
  <c r="X36" i="14" s="1"/>
  <c r="S37" i="14"/>
  <c r="X37" i="14" s="1"/>
  <c r="S202" i="14"/>
  <c r="X202" i="14" s="1"/>
  <c r="S38" i="14"/>
  <c r="X38" i="14" s="1"/>
  <c r="S39" i="14"/>
  <c r="X39" i="14" s="1"/>
  <c r="S40" i="14"/>
  <c r="X40" i="14" s="1"/>
  <c r="S41" i="14"/>
  <c r="X41" i="14" s="1"/>
  <c r="S42" i="14"/>
  <c r="X42" i="14" s="1"/>
  <c r="S43" i="14"/>
  <c r="X43" i="14" s="1"/>
  <c r="S44" i="14"/>
  <c r="X44" i="14" s="1"/>
  <c r="S45" i="14"/>
  <c r="X45" i="14" s="1"/>
  <c r="S46" i="14"/>
  <c r="X46" i="14" s="1"/>
  <c r="S47" i="14"/>
  <c r="X47" i="14" s="1"/>
  <c r="S48" i="14"/>
  <c r="X48" i="14" s="1"/>
  <c r="S49" i="14"/>
  <c r="X49" i="14" s="1"/>
  <c r="S50" i="14"/>
  <c r="X50" i="14" s="1"/>
  <c r="S51" i="14"/>
  <c r="X51" i="14" s="1"/>
  <c r="S52" i="14"/>
  <c r="X52" i="14" s="1"/>
  <c r="S53" i="14"/>
  <c r="X53" i="14" s="1"/>
  <c r="S54" i="14"/>
  <c r="X54" i="14" s="1"/>
  <c r="S55" i="14"/>
  <c r="X55" i="14" s="1"/>
  <c r="S56" i="14"/>
  <c r="X56" i="14" s="1"/>
  <c r="S57" i="14"/>
  <c r="X57" i="14" s="1"/>
  <c r="S58" i="14"/>
  <c r="X58" i="14" s="1"/>
  <c r="S59" i="14"/>
  <c r="X59" i="14" s="1"/>
  <c r="S60" i="14"/>
  <c r="X60" i="14" s="1"/>
  <c r="S61" i="14"/>
  <c r="X61" i="14" s="1"/>
  <c r="S62" i="14"/>
  <c r="X62" i="14" s="1"/>
  <c r="S63" i="14"/>
  <c r="X63" i="14" s="1"/>
  <c r="S64" i="14"/>
  <c r="X64" i="14" s="1"/>
  <c r="S65" i="14"/>
  <c r="X65" i="14" s="1"/>
  <c r="S66" i="14"/>
  <c r="X66" i="14" s="1"/>
  <c r="S67" i="14"/>
  <c r="X67" i="14" s="1"/>
  <c r="S68" i="14"/>
  <c r="X68" i="14" s="1"/>
  <c r="S69" i="14"/>
  <c r="X69" i="14" s="1"/>
  <c r="S70" i="14"/>
  <c r="X70" i="14" s="1"/>
  <c r="S71" i="14"/>
  <c r="X71" i="14" s="1"/>
  <c r="S72" i="14"/>
  <c r="X72" i="14" s="1"/>
  <c r="S73" i="14"/>
  <c r="X73" i="14" s="1"/>
  <c r="S74" i="14"/>
  <c r="X74" i="14" s="1"/>
  <c r="S75" i="14"/>
  <c r="X75" i="14" s="1"/>
  <c r="S76" i="14"/>
  <c r="X76" i="14" s="1"/>
  <c r="S77" i="14"/>
  <c r="X77" i="14" s="1"/>
  <c r="S78" i="14"/>
  <c r="X78" i="14" s="1"/>
  <c r="S79" i="14"/>
  <c r="X79" i="14" s="1"/>
  <c r="S80" i="14"/>
  <c r="X80" i="14" s="1"/>
  <c r="S81" i="14"/>
  <c r="X81" i="14" s="1"/>
  <c r="S82" i="14"/>
  <c r="X82" i="14" s="1"/>
  <c r="S83" i="14"/>
  <c r="X83" i="14" s="1"/>
  <c r="S84" i="14"/>
  <c r="X84" i="14" s="1"/>
  <c r="S85" i="14"/>
  <c r="X85" i="14" s="1"/>
  <c r="S86" i="14"/>
  <c r="X86" i="14" s="1"/>
  <c r="S87" i="14"/>
  <c r="X87" i="14" s="1"/>
  <c r="S88" i="14"/>
  <c r="X88" i="14" s="1"/>
  <c r="S89" i="14"/>
  <c r="X89" i="14" s="1"/>
  <c r="S90" i="14"/>
  <c r="X90" i="14" s="1"/>
  <c r="S91" i="14"/>
  <c r="X91" i="14" s="1"/>
  <c r="S92" i="14"/>
  <c r="X92" i="14" s="1"/>
  <c r="S93" i="14"/>
  <c r="X93" i="14" s="1"/>
  <c r="S94" i="14"/>
  <c r="X94" i="14" s="1"/>
  <c r="S95" i="14"/>
  <c r="X95" i="14" s="1"/>
  <c r="S96" i="14"/>
  <c r="X96" i="14" s="1"/>
  <c r="S97" i="14"/>
  <c r="X97" i="14" s="1"/>
  <c r="S98" i="14"/>
  <c r="X98" i="14" s="1"/>
  <c r="S99" i="14"/>
  <c r="X99" i="14" s="1"/>
  <c r="S100" i="14"/>
  <c r="X100" i="14" s="1"/>
  <c r="S101" i="14"/>
  <c r="X101" i="14" s="1"/>
  <c r="S102" i="14"/>
  <c r="X102" i="14" s="1"/>
  <c r="S103" i="14"/>
  <c r="X103" i="14" s="1"/>
  <c r="S104" i="14"/>
  <c r="X104" i="14" s="1"/>
  <c r="S105" i="14"/>
  <c r="X105" i="14" s="1"/>
  <c r="S106" i="14"/>
  <c r="X106" i="14" s="1"/>
  <c r="S107" i="14"/>
  <c r="X107" i="14" s="1"/>
  <c r="S108" i="14"/>
  <c r="X108" i="14" s="1"/>
  <c r="S109" i="14"/>
  <c r="X109" i="14" s="1"/>
  <c r="S110" i="14"/>
  <c r="X110" i="14" s="1"/>
  <c r="S111" i="14"/>
  <c r="X111" i="14" s="1"/>
  <c r="S112" i="14"/>
  <c r="X112" i="14" s="1"/>
  <c r="S113" i="14"/>
  <c r="X113" i="14" s="1"/>
  <c r="S115" i="14"/>
  <c r="X115" i="14" s="1"/>
  <c r="S116" i="14"/>
  <c r="X116" i="14" s="1"/>
  <c r="S117" i="14"/>
  <c r="X117" i="14" s="1"/>
  <c r="S118" i="14"/>
  <c r="X118" i="14" s="1"/>
  <c r="S119" i="14"/>
  <c r="X119" i="14" s="1"/>
  <c r="S120" i="14"/>
  <c r="X120" i="14" s="1"/>
  <c r="S121" i="14"/>
  <c r="X121" i="14" s="1"/>
  <c r="S122" i="14"/>
  <c r="X122" i="14" s="1"/>
  <c r="S123" i="14"/>
  <c r="X123" i="14" s="1"/>
  <c r="S124" i="14"/>
  <c r="X124" i="14" s="1"/>
  <c r="S125" i="14"/>
  <c r="X125" i="14" s="1"/>
  <c r="S126" i="14"/>
  <c r="X126" i="14" s="1"/>
  <c r="S127" i="14"/>
  <c r="X127" i="14" s="1"/>
  <c r="S128" i="14"/>
  <c r="X128" i="14" s="1"/>
  <c r="S129" i="14"/>
  <c r="X129" i="14" s="1"/>
  <c r="S130" i="14"/>
  <c r="X130" i="14" s="1"/>
  <c r="S131" i="14"/>
  <c r="X131" i="14" s="1"/>
  <c r="S132" i="14"/>
  <c r="X132" i="14" s="1"/>
  <c r="S203" i="14"/>
  <c r="X203" i="14" s="1"/>
  <c r="S133" i="14"/>
  <c r="X133" i="14" s="1"/>
  <c r="S134" i="14"/>
  <c r="X134" i="14" s="1"/>
  <c r="S135" i="14"/>
  <c r="X135" i="14" s="1"/>
  <c r="S136" i="14"/>
  <c r="X136" i="14" s="1"/>
  <c r="S137" i="14"/>
  <c r="X137" i="14" s="1"/>
  <c r="S138" i="14"/>
  <c r="X138" i="14" s="1"/>
  <c r="S139" i="14"/>
  <c r="X139" i="14" s="1"/>
  <c r="S140" i="14"/>
  <c r="X140" i="14" s="1"/>
  <c r="S141" i="14"/>
  <c r="X141" i="14" s="1"/>
  <c r="S142" i="14"/>
  <c r="X142" i="14" s="1"/>
  <c r="S143" i="14"/>
  <c r="X143" i="14" s="1"/>
  <c r="S144" i="14"/>
  <c r="X144" i="14" s="1"/>
  <c r="S145" i="14"/>
  <c r="X145" i="14" s="1"/>
  <c r="S146" i="14"/>
  <c r="X146" i="14" s="1"/>
  <c r="S147" i="14"/>
  <c r="X147" i="14" s="1"/>
  <c r="S148" i="14"/>
  <c r="X148" i="14" s="1"/>
  <c r="S149" i="14"/>
  <c r="X149" i="14" s="1"/>
  <c r="S150" i="14"/>
  <c r="X150" i="14" s="1"/>
  <c r="S151" i="14"/>
  <c r="X151" i="14" s="1"/>
  <c r="S152" i="14"/>
  <c r="X152" i="14" s="1"/>
  <c r="S153" i="14"/>
  <c r="X153" i="14" s="1"/>
  <c r="S154" i="14"/>
  <c r="X154" i="14" s="1"/>
  <c r="S155" i="14"/>
  <c r="X155" i="14" s="1"/>
  <c r="S156" i="14"/>
  <c r="X156" i="14" s="1"/>
  <c r="S157" i="14"/>
  <c r="X157" i="14" s="1"/>
  <c r="S158" i="14"/>
  <c r="X158" i="14" s="1"/>
  <c r="S159" i="14"/>
  <c r="X159" i="14" s="1"/>
  <c r="S160" i="14"/>
  <c r="X160" i="14" s="1"/>
  <c r="S161" i="14"/>
  <c r="X161" i="14" s="1"/>
  <c r="S204" i="14"/>
  <c r="X204" i="14" s="1"/>
  <c r="S162" i="14"/>
  <c r="X162" i="14" s="1"/>
  <c r="S163" i="14"/>
  <c r="X163" i="14" s="1"/>
  <c r="S164" i="14"/>
  <c r="X164" i="14" s="1"/>
  <c r="S165" i="14"/>
  <c r="X165" i="14" s="1"/>
  <c r="S166" i="14"/>
  <c r="X166" i="14" s="1"/>
  <c r="S167" i="14"/>
  <c r="X167" i="14" s="1"/>
  <c r="S168" i="14"/>
  <c r="X168" i="14" s="1"/>
  <c r="S169" i="14"/>
  <c r="X169" i="14" s="1"/>
  <c r="S170" i="14"/>
  <c r="X170" i="14" s="1"/>
  <c r="S171" i="14"/>
  <c r="X171" i="14" s="1"/>
  <c r="S172" i="14"/>
  <c r="X172" i="14" s="1"/>
  <c r="S173" i="14"/>
  <c r="X173" i="14" s="1"/>
  <c r="S174" i="14"/>
  <c r="X174" i="14" s="1"/>
  <c r="S175" i="14"/>
  <c r="X175" i="14" s="1"/>
  <c r="S176" i="14"/>
  <c r="X176" i="14" s="1"/>
  <c r="S177" i="14"/>
  <c r="X177" i="14" s="1"/>
  <c r="S178" i="14"/>
  <c r="X178" i="14" s="1"/>
  <c r="S179" i="14"/>
  <c r="X179" i="14" s="1"/>
  <c r="S180" i="14"/>
  <c r="X180" i="14" s="1"/>
  <c r="S181" i="14"/>
  <c r="X181" i="14" s="1"/>
  <c r="S182" i="14"/>
  <c r="X182" i="14" s="1"/>
  <c r="S183" i="14"/>
  <c r="X183" i="14" s="1"/>
  <c r="S184" i="14"/>
  <c r="X184" i="14" s="1"/>
  <c r="S185" i="14"/>
  <c r="X185" i="14" s="1"/>
  <c r="S7" i="14"/>
  <c r="X7" i="14" s="1"/>
  <c r="S203" i="5" l="1"/>
  <c r="I186" i="14"/>
  <c r="K186" i="14"/>
  <c r="G186" i="14" l="1"/>
  <c r="O186" i="14"/>
  <c r="S217" i="15"/>
  <c r="K217" i="15"/>
  <c r="T10" i="18"/>
  <c r="T9" i="18"/>
  <c r="T8" i="18"/>
  <c r="T88" i="18"/>
  <c r="T87" i="18"/>
  <c r="K202" i="5"/>
  <c r="K28" i="5"/>
  <c r="R88" i="18"/>
  <c r="P88" i="18"/>
  <c r="N88" i="18"/>
  <c r="N9" i="18"/>
  <c r="N10" i="18"/>
  <c r="N11" i="18"/>
  <c r="N12" i="18"/>
  <c r="N13" i="18"/>
  <c r="N14" i="18"/>
  <c r="N15" i="18"/>
  <c r="N16" i="18"/>
  <c r="N17" i="18"/>
  <c r="N18" i="18"/>
  <c r="N19" i="18"/>
  <c r="N20" i="18"/>
  <c r="N21" i="18"/>
  <c r="N22" i="18"/>
  <c r="N23" i="18"/>
  <c r="N24" i="18"/>
  <c r="N25" i="18"/>
  <c r="N26" i="18"/>
  <c r="N27" i="18"/>
  <c r="N28" i="18"/>
  <c r="N29" i="18"/>
  <c r="N30" i="18"/>
  <c r="N31" i="18"/>
  <c r="N32" i="18"/>
  <c r="N33" i="18"/>
  <c r="N34" i="18"/>
  <c r="N35" i="18"/>
  <c r="N36" i="18"/>
  <c r="N37" i="18"/>
  <c r="N38" i="18"/>
  <c r="N39" i="18"/>
  <c r="N40" i="18"/>
  <c r="N41" i="18"/>
  <c r="N42" i="18"/>
  <c r="N43" i="18"/>
  <c r="N44" i="18"/>
  <c r="N45" i="18"/>
  <c r="N46" i="18"/>
  <c r="N47" i="18"/>
  <c r="N48" i="18"/>
  <c r="N49" i="18"/>
  <c r="N50" i="18"/>
  <c r="N51" i="18"/>
  <c r="N52" i="18"/>
  <c r="N53" i="18"/>
  <c r="N54" i="18"/>
  <c r="N55" i="18"/>
  <c r="N56" i="18"/>
  <c r="N57" i="18"/>
  <c r="N58" i="18"/>
  <c r="N59" i="18"/>
  <c r="N60" i="18"/>
  <c r="N61" i="18"/>
  <c r="N62" i="18"/>
  <c r="N63" i="18"/>
  <c r="N64" i="18"/>
  <c r="N65" i="18"/>
  <c r="N66" i="18"/>
  <c r="N67" i="18"/>
  <c r="N68" i="18"/>
  <c r="N69" i="18"/>
  <c r="N70" i="18"/>
  <c r="N71" i="18"/>
  <c r="N72" i="18"/>
  <c r="N73" i="18"/>
  <c r="N74" i="18"/>
  <c r="N75" i="18"/>
  <c r="N76" i="18"/>
  <c r="N77" i="18"/>
  <c r="N78" i="18"/>
  <c r="N79" i="18"/>
  <c r="N80" i="18"/>
  <c r="N81" i="18"/>
  <c r="N82" i="18"/>
  <c r="N83" i="18"/>
  <c r="N84" i="18"/>
  <c r="N85" i="18"/>
  <c r="N86" i="18"/>
  <c r="N87" i="18"/>
  <c r="N8" i="18"/>
  <c r="L88" i="18"/>
  <c r="J88" i="18"/>
  <c r="M10" i="13"/>
  <c r="K10" i="13"/>
  <c r="G193" i="1"/>
  <c r="E193" i="1"/>
  <c r="X10" i="1"/>
  <c r="S186" i="14" l="1"/>
  <c r="K8" i="15"/>
  <c r="T11" i="18"/>
  <c r="T12" i="18"/>
  <c r="T13" i="18"/>
  <c r="T14" i="18"/>
  <c r="T15" i="18"/>
  <c r="T16" i="18"/>
  <c r="T17" i="18"/>
  <c r="T18" i="18"/>
  <c r="T19" i="18"/>
  <c r="T20" i="18"/>
  <c r="T21" i="18"/>
  <c r="T22" i="18"/>
  <c r="T23" i="18"/>
  <c r="T24" i="18"/>
  <c r="T25" i="18"/>
  <c r="T26" i="18"/>
  <c r="T27" i="18"/>
  <c r="T28" i="18"/>
  <c r="T29" i="18"/>
  <c r="T30" i="18"/>
  <c r="T31" i="18"/>
  <c r="T32" i="18"/>
  <c r="T33" i="18"/>
  <c r="T34" i="18"/>
  <c r="T35" i="18"/>
  <c r="T36" i="18"/>
  <c r="T37" i="18"/>
  <c r="T38" i="18"/>
  <c r="T39" i="18"/>
  <c r="T40" i="18"/>
  <c r="T41" i="18"/>
  <c r="T42" i="18"/>
  <c r="T43" i="18"/>
  <c r="T44" i="18"/>
  <c r="T45" i="18"/>
  <c r="T46" i="18"/>
  <c r="T47" i="18"/>
  <c r="T48" i="18"/>
  <c r="T49" i="18"/>
  <c r="T50" i="18"/>
  <c r="T51" i="18"/>
  <c r="T52" i="18"/>
  <c r="T53" i="18"/>
  <c r="T54" i="18"/>
  <c r="T55" i="18"/>
  <c r="T56" i="18"/>
  <c r="T57" i="18"/>
  <c r="T58" i="18"/>
  <c r="T59" i="18"/>
  <c r="T60" i="18"/>
  <c r="T61" i="18"/>
  <c r="T62" i="18"/>
  <c r="T63" i="18"/>
  <c r="T64" i="18"/>
  <c r="T65" i="18"/>
  <c r="T66" i="18"/>
  <c r="T67" i="18"/>
  <c r="T68" i="18"/>
  <c r="T69" i="18"/>
  <c r="T70" i="18"/>
  <c r="T71" i="18"/>
  <c r="T72" i="18"/>
  <c r="T73" i="18"/>
  <c r="T74" i="18"/>
  <c r="T75" i="18"/>
  <c r="T76" i="18"/>
  <c r="T77" i="18"/>
  <c r="T78" i="18"/>
  <c r="T79" i="18"/>
  <c r="T80" i="18"/>
  <c r="T81" i="18"/>
  <c r="T82" i="18"/>
  <c r="T83" i="18"/>
  <c r="T84" i="18"/>
  <c r="T85" i="18"/>
  <c r="T86" i="18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U31" i="5"/>
  <c r="U32" i="5"/>
  <c r="U33" i="5"/>
  <c r="U34" i="5"/>
  <c r="U36" i="5"/>
  <c r="U37" i="5"/>
  <c r="U38" i="5"/>
  <c r="U39" i="5"/>
  <c r="U40" i="5"/>
  <c r="U41" i="5"/>
  <c r="U42" i="5"/>
  <c r="U43" i="5"/>
  <c r="U44" i="5"/>
  <c r="U45" i="5"/>
  <c r="U46" i="5"/>
  <c r="U47" i="5"/>
  <c r="U48" i="5"/>
  <c r="U49" i="5"/>
  <c r="U50" i="5"/>
  <c r="U51" i="5"/>
  <c r="U52" i="5"/>
  <c r="U53" i="5"/>
  <c r="U54" i="5"/>
  <c r="U55" i="5"/>
  <c r="U56" i="5"/>
  <c r="U57" i="5"/>
  <c r="U58" i="5"/>
  <c r="U59" i="5"/>
  <c r="U60" i="5"/>
  <c r="U61" i="5"/>
  <c r="U62" i="5"/>
  <c r="U63" i="5"/>
  <c r="U64" i="5"/>
  <c r="U65" i="5"/>
  <c r="U66" i="5"/>
  <c r="U67" i="5"/>
  <c r="U68" i="5"/>
  <c r="U69" i="5"/>
  <c r="U70" i="5"/>
  <c r="U71" i="5"/>
  <c r="U72" i="5"/>
  <c r="U73" i="5"/>
  <c r="U74" i="5"/>
  <c r="U75" i="5"/>
  <c r="U76" i="5"/>
  <c r="U77" i="5"/>
  <c r="U78" i="5"/>
  <c r="U79" i="5"/>
  <c r="U80" i="5"/>
  <c r="U81" i="5"/>
  <c r="U82" i="5"/>
  <c r="U83" i="5"/>
  <c r="U84" i="5"/>
  <c r="U85" i="5"/>
  <c r="U86" i="5"/>
  <c r="U87" i="5"/>
  <c r="U88" i="5"/>
  <c r="U89" i="5"/>
  <c r="U90" i="5"/>
  <c r="U91" i="5"/>
  <c r="U92" i="5"/>
  <c r="U93" i="5"/>
  <c r="U94" i="5"/>
  <c r="U95" i="5"/>
  <c r="U96" i="5"/>
  <c r="U97" i="5"/>
  <c r="U98" i="5"/>
  <c r="U99" i="5"/>
  <c r="U100" i="5"/>
  <c r="U101" i="5"/>
  <c r="U102" i="5"/>
  <c r="U103" i="5"/>
  <c r="U104" i="5"/>
  <c r="U105" i="5"/>
  <c r="U106" i="5"/>
  <c r="U107" i="5"/>
  <c r="U108" i="5"/>
  <c r="U109" i="5"/>
  <c r="U110" i="5"/>
  <c r="U111" i="5"/>
  <c r="U112" i="5"/>
  <c r="U113" i="5"/>
  <c r="U114" i="5"/>
  <c r="U115" i="5"/>
  <c r="U116" i="5"/>
  <c r="U117" i="5"/>
  <c r="U118" i="5"/>
  <c r="U119" i="5"/>
  <c r="U120" i="5"/>
  <c r="U121" i="5"/>
  <c r="U122" i="5"/>
  <c r="U123" i="5"/>
  <c r="U124" i="5"/>
  <c r="U125" i="5"/>
  <c r="U126" i="5"/>
  <c r="U127" i="5"/>
  <c r="U128" i="5"/>
  <c r="U129" i="5"/>
  <c r="U130" i="5"/>
  <c r="U131" i="5"/>
  <c r="U132" i="5"/>
  <c r="U133" i="5"/>
  <c r="U134" i="5"/>
  <c r="U135" i="5"/>
  <c r="U136" i="5"/>
  <c r="U137" i="5"/>
  <c r="U138" i="5"/>
  <c r="U139" i="5"/>
  <c r="U140" i="5"/>
  <c r="U141" i="5"/>
  <c r="U142" i="5"/>
  <c r="U143" i="5"/>
  <c r="U144" i="5"/>
  <c r="U145" i="5"/>
  <c r="U146" i="5"/>
  <c r="U147" i="5"/>
  <c r="U148" i="5"/>
  <c r="U149" i="5"/>
  <c r="U150" i="5"/>
  <c r="U151" i="5"/>
  <c r="U152" i="5"/>
  <c r="U153" i="5"/>
  <c r="U154" i="5"/>
  <c r="U155" i="5"/>
  <c r="U156" i="5"/>
  <c r="U157" i="5"/>
  <c r="U158" i="5"/>
  <c r="U159" i="5"/>
  <c r="U160" i="5"/>
  <c r="U161" i="5"/>
  <c r="U162" i="5"/>
  <c r="U163" i="5"/>
  <c r="U164" i="5"/>
  <c r="U165" i="5"/>
  <c r="U166" i="5"/>
  <c r="U167" i="5"/>
  <c r="U168" i="5"/>
  <c r="U169" i="5"/>
  <c r="U170" i="5"/>
  <c r="U171" i="5"/>
  <c r="U172" i="5"/>
  <c r="U173" i="5"/>
  <c r="U174" i="5"/>
  <c r="U175" i="5"/>
  <c r="U176" i="5"/>
  <c r="U177" i="5"/>
  <c r="U178" i="5"/>
  <c r="U179" i="5"/>
  <c r="U180" i="5"/>
  <c r="U181" i="5"/>
  <c r="U182" i="5"/>
  <c r="U183" i="5"/>
  <c r="U184" i="5"/>
  <c r="U185" i="5"/>
  <c r="U186" i="5"/>
  <c r="U187" i="5"/>
  <c r="U188" i="5"/>
  <c r="U189" i="5"/>
  <c r="U190" i="5"/>
  <c r="U191" i="5"/>
  <c r="U192" i="5"/>
  <c r="U193" i="5"/>
  <c r="U194" i="5"/>
  <c r="U195" i="5"/>
  <c r="U196" i="5"/>
  <c r="U197" i="5"/>
  <c r="U198" i="5"/>
  <c r="U199" i="5"/>
  <c r="U200" i="5"/>
  <c r="U201" i="5"/>
  <c r="U202" i="5"/>
  <c r="U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55" i="5"/>
  <c r="K56" i="5"/>
  <c r="K57" i="5"/>
  <c r="K58" i="5"/>
  <c r="K59" i="5"/>
  <c r="K60" i="5"/>
  <c r="K61" i="5"/>
  <c r="K62" i="5"/>
  <c r="K63" i="5"/>
  <c r="K64" i="5"/>
  <c r="K65" i="5"/>
  <c r="K66" i="5"/>
  <c r="K67" i="5"/>
  <c r="K68" i="5"/>
  <c r="K69" i="5"/>
  <c r="K70" i="5"/>
  <c r="K71" i="5"/>
  <c r="K72" i="5"/>
  <c r="K73" i="5"/>
  <c r="K74" i="5"/>
  <c r="K75" i="5"/>
  <c r="K76" i="5"/>
  <c r="K77" i="5"/>
  <c r="K78" i="5"/>
  <c r="K79" i="5"/>
  <c r="K80" i="5"/>
  <c r="K81" i="5"/>
  <c r="K82" i="5"/>
  <c r="K83" i="5"/>
  <c r="K84" i="5"/>
  <c r="K85" i="5"/>
  <c r="K86" i="5"/>
  <c r="K87" i="5"/>
  <c r="K88" i="5"/>
  <c r="K89" i="5"/>
  <c r="K90" i="5"/>
  <c r="K91" i="5"/>
  <c r="K92" i="5"/>
  <c r="K93" i="5"/>
  <c r="K94" i="5"/>
  <c r="K95" i="5"/>
  <c r="K96" i="5"/>
  <c r="K97" i="5"/>
  <c r="K98" i="5"/>
  <c r="K99" i="5"/>
  <c r="K100" i="5"/>
  <c r="K101" i="5"/>
  <c r="K102" i="5"/>
  <c r="K103" i="5"/>
  <c r="K104" i="5"/>
  <c r="K105" i="5"/>
  <c r="K106" i="5"/>
  <c r="K107" i="5"/>
  <c r="K108" i="5"/>
  <c r="K109" i="5"/>
  <c r="K110" i="5"/>
  <c r="K111" i="5"/>
  <c r="K112" i="5"/>
  <c r="K113" i="5"/>
  <c r="K114" i="5"/>
  <c r="K115" i="5"/>
  <c r="K116" i="5"/>
  <c r="K117" i="5"/>
  <c r="K118" i="5"/>
  <c r="K119" i="5"/>
  <c r="K120" i="5"/>
  <c r="K121" i="5"/>
  <c r="K122" i="5"/>
  <c r="K123" i="5"/>
  <c r="K124" i="5"/>
  <c r="K125" i="5"/>
  <c r="K126" i="5"/>
  <c r="K127" i="5"/>
  <c r="K128" i="5"/>
  <c r="K129" i="5"/>
  <c r="K130" i="5"/>
  <c r="K131" i="5"/>
  <c r="K132" i="5"/>
  <c r="K133" i="5"/>
  <c r="K134" i="5"/>
  <c r="K135" i="5"/>
  <c r="K136" i="5"/>
  <c r="K137" i="5"/>
  <c r="K138" i="5"/>
  <c r="K139" i="5"/>
  <c r="K140" i="5"/>
  <c r="K141" i="5"/>
  <c r="K142" i="5"/>
  <c r="K143" i="5"/>
  <c r="K144" i="5"/>
  <c r="K145" i="5"/>
  <c r="K146" i="5"/>
  <c r="K147" i="5"/>
  <c r="K148" i="5"/>
  <c r="K149" i="5"/>
  <c r="K150" i="5"/>
  <c r="K151" i="5"/>
  <c r="K152" i="5"/>
  <c r="K153" i="5"/>
  <c r="K154" i="5"/>
  <c r="K155" i="5"/>
  <c r="K156" i="5"/>
  <c r="K157" i="5"/>
  <c r="K158" i="5"/>
  <c r="K159" i="5"/>
  <c r="K160" i="5"/>
  <c r="K161" i="5"/>
  <c r="K162" i="5"/>
  <c r="K163" i="5"/>
  <c r="K164" i="5"/>
  <c r="K165" i="5"/>
  <c r="K166" i="5"/>
  <c r="K167" i="5"/>
  <c r="K168" i="5"/>
  <c r="K169" i="5"/>
  <c r="K170" i="5"/>
  <c r="K171" i="5"/>
  <c r="K172" i="5"/>
  <c r="K173" i="5"/>
  <c r="K174" i="5"/>
  <c r="K175" i="5"/>
  <c r="K176" i="5"/>
  <c r="K177" i="5"/>
  <c r="K178" i="5"/>
  <c r="K179" i="5"/>
  <c r="K180" i="5"/>
  <c r="K181" i="5"/>
  <c r="K182" i="5"/>
  <c r="K183" i="5"/>
  <c r="K184" i="5"/>
  <c r="K185" i="5"/>
  <c r="K186" i="5"/>
  <c r="K187" i="5"/>
  <c r="K188" i="5"/>
  <c r="K189" i="5"/>
  <c r="K190" i="5"/>
  <c r="K191" i="5"/>
  <c r="K192" i="5"/>
  <c r="K193" i="5"/>
  <c r="K194" i="5"/>
  <c r="K195" i="5"/>
  <c r="K196" i="5"/>
  <c r="K197" i="5"/>
  <c r="K198" i="5"/>
  <c r="K199" i="5"/>
  <c r="K200" i="5"/>
  <c r="K201" i="5"/>
  <c r="K11" i="5"/>
  <c r="E203" i="5"/>
  <c r="E208" i="5" s="1"/>
  <c r="S209" i="15"/>
  <c r="G207" i="15"/>
  <c r="K208" i="15"/>
  <c r="K211" i="15" l="1"/>
  <c r="S196" i="15"/>
  <c r="S198" i="15"/>
  <c r="S197" i="15"/>
  <c r="K196" i="15"/>
  <c r="K198" i="15"/>
  <c r="K197" i="15"/>
  <c r="E11" i="8" l="1"/>
  <c r="K9" i="15" l="1"/>
  <c r="K10" i="15"/>
  <c r="K11" i="15"/>
  <c r="K12" i="15"/>
  <c r="K13" i="15"/>
  <c r="K14" i="15"/>
  <c r="K15" i="15"/>
  <c r="K16" i="15"/>
  <c r="K17" i="15"/>
  <c r="K18" i="15"/>
  <c r="K19" i="15"/>
  <c r="K20" i="15"/>
  <c r="K21" i="15"/>
  <c r="K22" i="15"/>
  <c r="K23" i="15"/>
  <c r="K24" i="15"/>
  <c r="K25" i="15"/>
  <c r="K26" i="15"/>
  <c r="K27" i="15"/>
  <c r="K28" i="15"/>
  <c r="K29" i="15"/>
  <c r="K30" i="15"/>
  <c r="K31" i="15"/>
  <c r="K32" i="15"/>
  <c r="K33" i="15"/>
  <c r="K34" i="15"/>
  <c r="K35" i="15"/>
  <c r="K36" i="15"/>
  <c r="K37" i="15"/>
  <c r="K38" i="15"/>
  <c r="K39" i="15"/>
  <c r="K40" i="15"/>
  <c r="K41" i="15"/>
  <c r="K42" i="15"/>
  <c r="K43" i="15"/>
  <c r="K44" i="15"/>
  <c r="K45" i="15"/>
  <c r="K46" i="15"/>
  <c r="K47" i="15"/>
  <c r="K48" i="15"/>
  <c r="K49" i="15"/>
  <c r="K50" i="15"/>
  <c r="K51" i="15"/>
  <c r="K52" i="15"/>
  <c r="K53" i="15"/>
  <c r="K54" i="15"/>
  <c r="K55" i="15"/>
  <c r="K56" i="15"/>
  <c r="K57" i="15"/>
  <c r="K58" i="15"/>
  <c r="K59" i="15"/>
  <c r="K60" i="15"/>
  <c r="K61" i="15"/>
  <c r="K62" i="15"/>
  <c r="K63" i="15"/>
  <c r="K64" i="15"/>
  <c r="K65" i="15"/>
  <c r="K66" i="15"/>
  <c r="K67" i="15"/>
  <c r="K68" i="15"/>
  <c r="K69" i="15"/>
  <c r="K70" i="15"/>
  <c r="K71" i="15"/>
  <c r="K72" i="15"/>
  <c r="K73" i="15"/>
  <c r="K74" i="15"/>
  <c r="K75" i="15"/>
  <c r="K76" i="15"/>
  <c r="K77" i="15"/>
  <c r="K78" i="15"/>
  <c r="K79" i="15"/>
  <c r="K80" i="15"/>
  <c r="K81" i="15"/>
  <c r="K82" i="15"/>
  <c r="K83" i="15"/>
  <c r="K84" i="15"/>
  <c r="K85" i="15"/>
  <c r="K86" i="15"/>
  <c r="K87" i="15"/>
  <c r="K88" i="15"/>
  <c r="K89" i="15"/>
  <c r="K90" i="15"/>
  <c r="K91" i="15"/>
  <c r="K92" i="15"/>
  <c r="K93" i="15"/>
  <c r="K94" i="15"/>
  <c r="K95" i="15"/>
  <c r="K96" i="15"/>
  <c r="K97" i="15"/>
  <c r="K98" i="15"/>
  <c r="K99" i="15"/>
  <c r="K100" i="15"/>
  <c r="K101" i="15"/>
  <c r="K102" i="15"/>
  <c r="K103" i="15"/>
  <c r="K104" i="15"/>
  <c r="K105" i="15"/>
  <c r="K106" i="15"/>
  <c r="K107" i="15"/>
  <c r="K108" i="15"/>
  <c r="K109" i="15"/>
  <c r="K110" i="15"/>
  <c r="K111" i="15"/>
  <c r="K112" i="15"/>
  <c r="K113" i="15"/>
  <c r="K114" i="15"/>
  <c r="K115" i="15"/>
  <c r="K116" i="15"/>
  <c r="K117" i="15"/>
  <c r="K118" i="15"/>
  <c r="K119" i="15"/>
  <c r="K120" i="15"/>
  <c r="K121" i="15"/>
  <c r="K122" i="15"/>
  <c r="K123" i="15"/>
  <c r="K124" i="15"/>
  <c r="K125" i="15"/>
  <c r="K126" i="15"/>
  <c r="K127" i="15"/>
  <c r="K128" i="15"/>
  <c r="K129" i="15"/>
  <c r="K130" i="15"/>
  <c r="K131" i="15"/>
  <c r="K132" i="15"/>
  <c r="K133" i="15"/>
  <c r="K134" i="15"/>
  <c r="K135" i="15"/>
  <c r="K136" i="15"/>
  <c r="K137" i="15"/>
  <c r="K138" i="15"/>
  <c r="K139" i="15"/>
  <c r="K140" i="15"/>
  <c r="K141" i="15"/>
  <c r="K142" i="15"/>
  <c r="K143" i="15"/>
  <c r="K144" i="15"/>
  <c r="K145" i="15"/>
  <c r="K146" i="15"/>
  <c r="K147" i="15"/>
  <c r="K148" i="15"/>
  <c r="K149" i="15"/>
  <c r="K150" i="15"/>
  <c r="K151" i="15"/>
  <c r="K152" i="15"/>
  <c r="K153" i="15"/>
  <c r="K154" i="15"/>
  <c r="K155" i="15"/>
  <c r="K156" i="15"/>
  <c r="K157" i="15"/>
  <c r="K158" i="15"/>
  <c r="K159" i="15"/>
  <c r="K160" i="15"/>
  <c r="K161" i="15"/>
  <c r="K162" i="15"/>
  <c r="K163" i="15"/>
  <c r="K164" i="15"/>
  <c r="K165" i="15"/>
  <c r="K166" i="15"/>
  <c r="K167" i="15"/>
  <c r="K168" i="15"/>
  <c r="K169" i="15"/>
  <c r="K170" i="15"/>
  <c r="K171" i="15"/>
  <c r="K172" i="15"/>
  <c r="K173" i="15"/>
  <c r="K174" i="15"/>
  <c r="K175" i="15"/>
  <c r="K176" i="15"/>
  <c r="K177" i="15"/>
  <c r="K178" i="15"/>
  <c r="K179" i="15"/>
  <c r="K180" i="15"/>
  <c r="K181" i="15"/>
  <c r="K182" i="15"/>
  <c r="K183" i="15"/>
  <c r="K184" i="15"/>
  <c r="K185" i="15"/>
  <c r="K186" i="15"/>
  <c r="K187" i="15"/>
  <c r="K188" i="15"/>
  <c r="K189" i="15"/>
  <c r="K190" i="15"/>
  <c r="K191" i="15"/>
  <c r="K192" i="15"/>
  <c r="K193" i="15"/>
  <c r="K194" i="15"/>
  <c r="K195" i="15"/>
  <c r="K6" i="2" l="1"/>
  <c r="G199" i="15" l="1"/>
  <c r="S174" i="15"/>
  <c r="S175" i="15"/>
  <c r="S176" i="15"/>
  <c r="S177" i="15"/>
  <c r="S178" i="15"/>
  <c r="S179" i="15"/>
  <c r="S180" i="15"/>
  <c r="S181" i="15"/>
  <c r="S182" i="15"/>
  <c r="S183" i="15"/>
  <c r="S184" i="15"/>
  <c r="S185" i="15"/>
  <c r="S186" i="15"/>
  <c r="S187" i="15"/>
  <c r="S188" i="15"/>
  <c r="S189" i="15"/>
  <c r="S190" i="15"/>
  <c r="S191" i="15"/>
  <c r="S192" i="15"/>
  <c r="S193" i="15"/>
  <c r="S194" i="15"/>
  <c r="S195" i="15"/>
  <c r="U193" i="1" l="1"/>
  <c r="S193" i="1"/>
  <c r="I11" i="7" l="1"/>
  <c r="E9" i="11" s="1"/>
  <c r="I10" i="6"/>
  <c r="S173" i="15" l="1"/>
  <c r="S172" i="15"/>
  <c r="K12" i="2"/>
  <c r="M193" i="1"/>
  <c r="J193" i="1"/>
  <c r="C193" i="1"/>
  <c r="K203" i="5" l="1"/>
  <c r="E11" i="7" l="1"/>
  <c r="G10" i="7" s="1"/>
  <c r="Q10" i="13"/>
  <c r="G10" i="13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125" i="1"/>
  <c r="W126" i="1"/>
  <c r="W127" i="1"/>
  <c r="W128" i="1"/>
  <c r="W129" i="1"/>
  <c r="W130" i="1"/>
  <c r="W131" i="1"/>
  <c r="W132" i="1"/>
  <c r="W133" i="1"/>
  <c r="W134" i="1"/>
  <c r="W135" i="1"/>
  <c r="W136" i="1"/>
  <c r="W137" i="1"/>
  <c r="W138" i="1"/>
  <c r="W139" i="1"/>
  <c r="W140" i="1"/>
  <c r="W141" i="1"/>
  <c r="W142" i="1"/>
  <c r="W143" i="1"/>
  <c r="W144" i="1"/>
  <c r="W145" i="1"/>
  <c r="W146" i="1"/>
  <c r="W147" i="1"/>
  <c r="W148" i="1"/>
  <c r="W149" i="1"/>
  <c r="W150" i="1"/>
  <c r="W151" i="1"/>
  <c r="W152" i="1"/>
  <c r="W153" i="1"/>
  <c r="W154" i="1"/>
  <c r="W155" i="1"/>
  <c r="W156" i="1"/>
  <c r="W157" i="1"/>
  <c r="W158" i="1"/>
  <c r="W159" i="1"/>
  <c r="W160" i="1"/>
  <c r="W161" i="1"/>
  <c r="W162" i="1"/>
  <c r="W163" i="1"/>
  <c r="W164" i="1"/>
  <c r="W165" i="1"/>
  <c r="W166" i="1"/>
  <c r="W167" i="1"/>
  <c r="W168" i="1"/>
  <c r="W169" i="1"/>
  <c r="W170" i="1"/>
  <c r="W171" i="1"/>
  <c r="W172" i="1"/>
  <c r="W173" i="1"/>
  <c r="W174" i="1"/>
  <c r="W175" i="1"/>
  <c r="W176" i="1"/>
  <c r="W177" i="1"/>
  <c r="W178" i="1"/>
  <c r="W179" i="1"/>
  <c r="W180" i="1"/>
  <c r="W181" i="1"/>
  <c r="W182" i="1"/>
  <c r="W183" i="1"/>
  <c r="W184" i="1"/>
  <c r="W185" i="1"/>
  <c r="W186" i="1"/>
  <c r="W187" i="1"/>
  <c r="W188" i="1"/>
  <c r="W189" i="1"/>
  <c r="W190" i="1"/>
  <c r="W191" i="1"/>
  <c r="W192" i="1"/>
  <c r="K10" i="7" l="1"/>
  <c r="S171" i="15"/>
  <c r="W10" i="1" l="1"/>
  <c r="W193" i="1" l="1"/>
  <c r="S11" i="2" l="1"/>
  <c r="S9" i="2"/>
  <c r="S10" i="2" l="1"/>
  <c r="S12" i="2" s="1"/>
  <c r="Q12" i="2"/>
  <c r="E10" i="11"/>
  <c r="C11" i="8"/>
  <c r="I203" i="5" l="1"/>
  <c r="B3" i="18" l="1"/>
  <c r="E5" i="11"/>
  <c r="Q6" i="2"/>
  <c r="C3" i="5" l="1"/>
  <c r="E7" i="5"/>
  <c r="M6" i="15"/>
  <c r="E6" i="15"/>
  <c r="C3" i="14"/>
  <c r="C3" i="15"/>
  <c r="S9" i="15" l="1"/>
  <c r="Q10" i="6" s="1"/>
  <c r="S10" i="15"/>
  <c r="S11" i="15"/>
  <c r="S12" i="15"/>
  <c r="S13" i="15"/>
  <c r="S14" i="15"/>
  <c r="S15" i="15"/>
  <c r="S16" i="15"/>
  <c r="S17" i="15"/>
  <c r="S18" i="15"/>
  <c r="S19" i="15"/>
  <c r="S20" i="15"/>
  <c r="S21" i="15"/>
  <c r="S22" i="15"/>
  <c r="S23" i="15"/>
  <c r="S24" i="15"/>
  <c r="S25" i="15"/>
  <c r="S26" i="15"/>
  <c r="S27" i="15"/>
  <c r="S28" i="15"/>
  <c r="S29" i="15"/>
  <c r="S30" i="15"/>
  <c r="S31" i="15"/>
  <c r="S32" i="15"/>
  <c r="S33" i="15"/>
  <c r="S34" i="15"/>
  <c r="S35" i="15"/>
  <c r="S36" i="15"/>
  <c r="S37" i="15"/>
  <c r="S38" i="15"/>
  <c r="S39" i="15"/>
  <c r="S40" i="15"/>
  <c r="S41" i="15"/>
  <c r="S42" i="15"/>
  <c r="S43" i="15"/>
  <c r="S44" i="15"/>
  <c r="S45" i="15"/>
  <c r="S46" i="15"/>
  <c r="S47" i="15"/>
  <c r="S48" i="15"/>
  <c r="S49" i="15"/>
  <c r="S50" i="15"/>
  <c r="S51" i="15"/>
  <c r="S52" i="15"/>
  <c r="S53" i="15"/>
  <c r="S54" i="15"/>
  <c r="S55" i="15"/>
  <c r="S56" i="15"/>
  <c r="S57" i="15"/>
  <c r="S58" i="15"/>
  <c r="S59" i="15"/>
  <c r="S60" i="15"/>
  <c r="S61" i="15"/>
  <c r="S62" i="15"/>
  <c r="S63" i="15"/>
  <c r="S64" i="15"/>
  <c r="S65" i="15"/>
  <c r="S66" i="15"/>
  <c r="S67" i="15"/>
  <c r="S68" i="15"/>
  <c r="S69" i="15"/>
  <c r="S70" i="15"/>
  <c r="S71" i="15"/>
  <c r="S72" i="15"/>
  <c r="S73" i="15"/>
  <c r="S74" i="15"/>
  <c r="S75" i="15"/>
  <c r="S76" i="15"/>
  <c r="S77" i="15"/>
  <c r="S78" i="15"/>
  <c r="S79" i="15"/>
  <c r="S80" i="15"/>
  <c r="S81" i="15"/>
  <c r="S82" i="15"/>
  <c r="S83" i="15"/>
  <c r="S84" i="15"/>
  <c r="S85" i="15"/>
  <c r="S86" i="15"/>
  <c r="S87" i="15"/>
  <c r="S88" i="15"/>
  <c r="S89" i="15"/>
  <c r="S90" i="15"/>
  <c r="S91" i="15"/>
  <c r="S92" i="15"/>
  <c r="S93" i="15"/>
  <c r="S94" i="15"/>
  <c r="S95" i="15"/>
  <c r="S96" i="15"/>
  <c r="S97" i="15"/>
  <c r="S98" i="15"/>
  <c r="S99" i="15"/>
  <c r="S100" i="15"/>
  <c r="S101" i="15"/>
  <c r="S102" i="15"/>
  <c r="S103" i="15"/>
  <c r="S104" i="15"/>
  <c r="S105" i="15"/>
  <c r="S106" i="15"/>
  <c r="S107" i="15"/>
  <c r="S108" i="15"/>
  <c r="S109" i="15"/>
  <c r="S110" i="15"/>
  <c r="S111" i="15"/>
  <c r="S112" i="15"/>
  <c r="S113" i="15"/>
  <c r="S114" i="15"/>
  <c r="S115" i="15"/>
  <c r="S116" i="15"/>
  <c r="S117" i="15"/>
  <c r="S118" i="15"/>
  <c r="S119" i="15"/>
  <c r="S120" i="15"/>
  <c r="S121" i="15"/>
  <c r="S122" i="15"/>
  <c r="S123" i="15"/>
  <c r="S124" i="15"/>
  <c r="S125" i="15"/>
  <c r="S126" i="15"/>
  <c r="S127" i="15"/>
  <c r="S128" i="15"/>
  <c r="S129" i="15"/>
  <c r="S130" i="15"/>
  <c r="S131" i="15"/>
  <c r="S132" i="15"/>
  <c r="S133" i="15"/>
  <c r="S134" i="15"/>
  <c r="S135" i="15"/>
  <c r="S136" i="15"/>
  <c r="S137" i="15"/>
  <c r="S138" i="15"/>
  <c r="S139" i="15"/>
  <c r="S140" i="15"/>
  <c r="S141" i="15"/>
  <c r="S142" i="15"/>
  <c r="S143" i="15"/>
  <c r="S144" i="15"/>
  <c r="S145" i="15"/>
  <c r="S146" i="15"/>
  <c r="S147" i="15"/>
  <c r="S148" i="15"/>
  <c r="S149" i="15"/>
  <c r="S150" i="15"/>
  <c r="S151" i="15"/>
  <c r="S152" i="15"/>
  <c r="S153" i="15"/>
  <c r="S154" i="15"/>
  <c r="S155" i="15"/>
  <c r="S156" i="15"/>
  <c r="S157" i="15"/>
  <c r="S158" i="15"/>
  <c r="S159" i="15"/>
  <c r="S160" i="15"/>
  <c r="S161" i="15"/>
  <c r="S162" i="15"/>
  <c r="S163" i="15"/>
  <c r="S164" i="15"/>
  <c r="S165" i="15"/>
  <c r="S166" i="15"/>
  <c r="S167" i="15"/>
  <c r="S168" i="15"/>
  <c r="S169" i="15"/>
  <c r="S170" i="15"/>
  <c r="I199" i="15"/>
  <c r="Q11" i="6" l="1"/>
  <c r="E8" i="11" s="1"/>
  <c r="O11" i="6"/>
  <c r="O203" i="5"/>
  <c r="O208" i="5" s="1"/>
  <c r="O199" i="15"/>
  <c r="M12" i="2" l="1"/>
  <c r="O12" i="2"/>
  <c r="Q199" i="15" l="1"/>
  <c r="S8" i="15" l="1"/>
  <c r="A3" i="17"/>
  <c r="A3" i="2"/>
  <c r="S199" i="15" l="1"/>
  <c r="S218" i="15" s="1"/>
  <c r="K199" i="15"/>
  <c r="M11" i="6"/>
  <c r="C6" i="6"/>
  <c r="I208" i="5" l="1"/>
  <c r="K218" i="15"/>
  <c r="U203" i="5"/>
  <c r="XFC199" i="15"/>
  <c r="G203" i="5"/>
  <c r="G208" i="5" s="1"/>
  <c r="Q186" i="14"/>
  <c r="E7" i="11" l="1"/>
  <c r="Q203" i="5"/>
  <c r="E11" i="11" l="1"/>
  <c r="W198" i="5" l="1"/>
  <c r="W199" i="5"/>
  <c r="W200" i="5"/>
  <c r="W12" i="5"/>
  <c r="W16" i="5"/>
  <c r="W20" i="5"/>
  <c r="W24" i="5"/>
  <c r="W28" i="5"/>
  <c r="W32" i="5"/>
  <c r="W36" i="5"/>
  <c r="W40" i="5"/>
  <c r="W44" i="5"/>
  <c r="W48" i="5"/>
  <c r="W52" i="5"/>
  <c r="W56" i="5"/>
  <c r="W60" i="5"/>
  <c r="W64" i="5"/>
  <c r="W68" i="5"/>
  <c r="W72" i="5"/>
  <c r="W76" i="5"/>
  <c r="W80" i="5"/>
  <c r="W84" i="5"/>
  <c r="W88" i="5"/>
  <c r="W92" i="5"/>
  <c r="W96" i="5"/>
  <c r="W100" i="5"/>
  <c r="W104" i="5"/>
  <c r="W108" i="5"/>
  <c r="W111" i="5"/>
  <c r="W115" i="5"/>
  <c r="W119" i="5"/>
  <c r="W123" i="5"/>
  <c r="W127" i="5"/>
  <c r="W131" i="5"/>
  <c r="W135" i="5"/>
  <c r="W139" i="5"/>
  <c r="W143" i="5"/>
  <c r="W147" i="5"/>
  <c r="W151" i="5"/>
  <c r="W155" i="5"/>
  <c r="W159" i="5"/>
  <c r="W17" i="5"/>
  <c r="W22" i="5"/>
  <c r="W27" i="5"/>
  <c r="W33" i="5"/>
  <c r="W38" i="5"/>
  <c r="W43" i="5"/>
  <c r="W49" i="5"/>
  <c r="W54" i="5"/>
  <c r="W59" i="5"/>
  <c r="W65" i="5"/>
  <c r="W70" i="5"/>
  <c r="W75" i="5"/>
  <c r="W81" i="5"/>
  <c r="W86" i="5"/>
  <c r="W91" i="5"/>
  <c r="W97" i="5"/>
  <c r="W102" i="5"/>
  <c r="W107" i="5"/>
  <c r="W112" i="5"/>
  <c r="W117" i="5"/>
  <c r="W122" i="5"/>
  <c r="W128" i="5"/>
  <c r="W133" i="5"/>
  <c r="W138" i="5"/>
  <c r="W144" i="5"/>
  <c r="W149" i="5"/>
  <c r="W154" i="5"/>
  <c r="W160" i="5"/>
  <c r="W164" i="5"/>
  <c r="W168" i="5"/>
  <c r="W172" i="5"/>
  <c r="W176" i="5"/>
  <c r="W180" i="5"/>
  <c r="W184" i="5"/>
  <c r="W188" i="5"/>
  <c r="W192" i="5"/>
  <c r="W196" i="5"/>
  <c r="W13" i="5"/>
  <c r="W18" i="5"/>
  <c r="W23" i="5"/>
  <c r="W29" i="5"/>
  <c r="W34" i="5"/>
  <c r="W39" i="5"/>
  <c r="W45" i="5"/>
  <c r="W50" i="5"/>
  <c r="W55" i="5"/>
  <c r="W61" i="5"/>
  <c r="W66" i="5"/>
  <c r="W71" i="5"/>
  <c r="W77" i="5"/>
  <c r="W82" i="5"/>
  <c r="W87" i="5"/>
  <c r="W93" i="5"/>
  <c r="W98" i="5"/>
  <c r="W103" i="5"/>
  <c r="W109" i="5"/>
  <c r="W113" i="5"/>
  <c r="W118" i="5"/>
  <c r="W124" i="5"/>
  <c r="W129" i="5"/>
  <c r="W134" i="5"/>
  <c r="W140" i="5"/>
  <c r="W145" i="5"/>
  <c r="W150" i="5"/>
  <c r="W156" i="5"/>
  <c r="W161" i="5"/>
  <c r="W165" i="5"/>
  <c r="W169" i="5"/>
  <c r="W173" i="5"/>
  <c r="W177" i="5"/>
  <c r="W181" i="5"/>
  <c r="W185" i="5"/>
  <c r="W189" i="5"/>
  <c r="W193" i="5"/>
  <c r="W197" i="5"/>
  <c r="W19" i="5"/>
  <c r="W30" i="5"/>
  <c r="W41" i="5"/>
  <c r="W51" i="5"/>
  <c r="W62" i="5"/>
  <c r="W73" i="5"/>
  <c r="W83" i="5"/>
  <c r="W94" i="5"/>
  <c r="W105" i="5"/>
  <c r="W114" i="5"/>
  <c r="W125" i="5"/>
  <c r="W136" i="5"/>
  <c r="W146" i="5"/>
  <c r="W157" i="5"/>
  <c r="W166" i="5"/>
  <c r="W174" i="5"/>
  <c r="W182" i="5"/>
  <c r="W190" i="5"/>
  <c r="W201" i="5"/>
  <c r="W21" i="5"/>
  <c r="W31" i="5"/>
  <c r="W42" i="5"/>
  <c r="W53" i="5"/>
  <c r="W63" i="5"/>
  <c r="W74" i="5"/>
  <c r="W85" i="5"/>
  <c r="W95" i="5"/>
  <c r="W106" i="5"/>
  <c r="W116" i="5"/>
  <c r="W126" i="5"/>
  <c r="W137" i="5"/>
  <c r="W148" i="5"/>
  <c r="W158" i="5"/>
  <c r="W167" i="5"/>
  <c r="W175" i="5"/>
  <c r="W183" i="5"/>
  <c r="W191" i="5"/>
  <c r="W202" i="5"/>
  <c r="W14" i="5"/>
  <c r="W25" i="5"/>
  <c r="W35" i="5"/>
  <c r="W46" i="5"/>
  <c r="W57" i="5"/>
  <c r="W67" i="5"/>
  <c r="W78" i="5"/>
  <c r="W89" i="5"/>
  <c r="W99" i="5"/>
  <c r="W120" i="5"/>
  <c r="W130" i="5"/>
  <c r="W141" i="5"/>
  <c r="W152" i="5"/>
  <c r="W162" i="5"/>
  <c r="W170" i="5"/>
  <c r="W178" i="5"/>
  <c r="W186" i="5"/>
  <c r="W194" i="5"/>
  <c r="W15" i="5"/>
  <c r="W26" i="5"/>
  <c r="W37" i="5"/>
  <c r="W47" i="5"/>
  <c r="W58" i="5"/>
  <c r="W69" i="5"/>
  <c r="W79" i="5"/>
  <c r="W90" i="5"/>
  <c r="W101" i="5"/>
  <c r="W110" i="5"/>
  <c r="W121" i="5"/>
  <c r="W132" i="5"/>
  <c r="W142" i="5"/>
  <c r="W153" i="5"/>
  <c r="W163" i="5"/>
  <c r="W171" i="5"/>
  <c r="W179" i="5"/>
  <c r="W187" i="5"/>
  <c r="W195" i="5"/>
  <c r="AG9" i="17"/>
  <c r="G8" i="7" l="1"/>
  <c r="G11" i="7" s="1"/>
  <c r="AE10" i="17" l="1"/>
  <c r="AC10" i="17"/>
  <c r="W10" i="17"/>
  <c r="T10" i="17"/>
  <c r="O10" i="17"/>
  <c r="Q10" i="17"/>
  <c r="C11" i="6" l="1"/>
  <c r="E11" i="6" l="1"/>
  <c r="G11" i="6"/>
  <c r="AG10" i="17" l="1"/>
  <c r="K8" i="7" l="1"/>
  <c r="O10" i="13"/>
  <c r="I10" i="13"/>
  <c r="K11" i="7" l="1"/>
  <c r="I11" i="6"/>
  <c r="M199" i="5" l="1"/>
  <c r="M200" i="5"/>
  <c r="M198" i="5"/>
  <c r="M195" i="5"/>
  <c r="M202" i="5"/>
  <c r="M197" i="5"/>
  <c r="M201" i="5"/>
  <c r="M196" i="5"/>
  <c r="M99" i="5"/>
  <c r="M33" i="5"/>
  <c r="M152" i="5"/>
  <c r="M39" i="5"/>
  <c r="M43" i="5"/>
  <c r="M126" i="5"/>
  <c r="M136" i="5"/>
  <c r="M135" i="5"/>
  <c r="M63" i="5"/>
  <c r="M92" i="5"/>
  <c r="M30" i="5"/>
  <c r="M191" i="5"/>
  <c r="M24" i="5"/>
  <c r="M46" i="5"/>
  <c r="M29" i="5"/>
  <c r="M134" i="5"/>
  <c r="M184" i="5"/>
  <c r="M186" i="5"/>
  <c r="M188" i="5"/>
  <c r="M179" i="5"/>
  <c r="M189" i="5"/>
  <c r="M71" i="5"/>
  <c r="M80" i="5"/>
  <c r="M75" i="5"/>
  <c r="M127" i="5"/>
  <c r="M85" i="5"/>
  <c r="M164" i="5"/>
  <c r="M83" i="5"/>
  <c r="M167" i="5"/>
  <c r="M103" i="5"/>
  <c r="M27" i="5"/>
  <c r="M95" i="5"/>
  <c r="M97" i="5"/>
  <c r="M32" i="5"/>
  <c r="M96" i="5"/>
  <c r="M57" i="5"/>
  <c r="M23" i="5"/>
  <c r="M40" i="5"/>
  <c r="M69" i="5"/>
  <c r="M54" i="5"/>
  <c r="M14" i="5"/>
  <c r="M115" i="5"/>
  <c r="M101" i="5"/>
  <c r="M145" i="5"/>
  <c r="M108" i="5"/>
  <c r="M26" i="5"/>
  <c r="M139" i="5"/>
  <c r="M105" i="5"/>
  <c r="M65" i="5"/>
  <c r="M50" i="5"/>
  <c r="M150" i="5"/>
  <c r="M159" i="5"/>
  <c r="M62" i="5"/>
  <c r="M22" i="5"/>
  <c r="M67" i="5"/>
  <c r="M165" i="5"/>
  <c r="M174" i="5"/>
  <c r="M19" i="5"/>
  <c r="M55" i="5"/>
  <c r="M144" i="5"/>
  <c r="M17" i="5"/>
  <c r="M156" i="5"/>
  <c r="M52" i="5"/>
  <c r="M193" i="5"/>
  <c r="M138" i="5"/>
  <c r="M190" i="5"/>
  <c r="M181" i="5"/>
  <c r="M183" i="5"/>
  <c r="M180" i="5"/>
  <c r="M11" i="5"/>
  <c r="M133" i="5"/>
  <c r="M25" i="5"/>
  <c r="M140" i="5"/>
  <c r="M60" i="5"/>
  <c r="M79" i="5"/>
  <c r="M74" i="5"/>
  <c r="M137" i="5"/>
  <c r="M100" i="5"/>
  <c r="M34" i="5"/>
  <c r="M147" i="5"/>
  <c r="M77" i="5"/>
  <c r="M37" i="5"/>
  <c r="M61" i="5"/>
  <c r="M28" i="5"/>
  <c r="M102" i="5"/>
  <c r="M154" i="5"/>
  <c r="M93" i="5"/>
  <c r="M89" i="5"/>
  <c r="M98" i="5"/>
  <c r="M153" i="5"/>
  <c r="M91" i="5"/>
  <c r="M122" i="5"/>
  <c r="M78" i="5"/>
  <c r="M41" i="5"/>
  <c r="M146" i="5"/>
  <c r="M21" i="5"/>
  <c r="M18" i="5"/>
  <c r="M38" i="5"/>
  <c r="M142" i="5"/>
  <c r="M162" i="5"/>
  <c r="M113" i="5"/>
  <c r="M131" i="5"/>
  <c r="M118" i="5"/>
  <c r="M143" i="5"/>
  <c r="M104" i="5"/>
  <c r="M20" i="5"/>
  <c r="M130" i="5"/>
  <c r="M176" i="5"/>
  <c r="M119" i="5"/>
  <c r="M45" i="5"/>
  <c r="M36" i="5"/>
  <c r="M178" i="5"/>
  <c r="M194" i="5"/>
  <c r="M185" i="5"/>
  <c r="M187" i="5"/>
  <c r="M192" i="5"/>
  <c r="M163" i="5"/>
  <c r="M66" i="5"/>
  <c r="M112" i="5"/>
  <c r="M73" i="5"/>
  <c r="M58" i="5"/>
  <c r="M72" i="5"/>
  <c r="M120" i="5"/>
  <c r="M70" i="5"/>
  <c r="M31" i="5"/>
  <c r="M87" i="5"/>
  <c r="M48" i="5"/>
  <c r="M110" i="5"/>
  <c r="M53" i="5"/>
  <c r="M141" i="5"/>
  <c r="M148" i="5"/>
  <c r="M47" i="5"/>
  <c r="M169" i="5"/>
  <c r="M160" i="5"/>
  <c r="M161" i="5"/>
  <c r="M51" i="5"/>
  <c r="M56" i="5"/>
  <c r="M59" i="5"/>
  <c r="M13" i="5"/>
  <c r="M149" i="5"/>
  <c r="M158" i="5"/>
  <c r="M76" i="5"/>
  <c r="M155" i="5"/>
  <c r="M116" i="5"/>
  <c r="M166" i="5"/>
  <c r="M182" i="5"/>
  <c r="M177" i="5"/>
  <c r="M111" i="5"/>
  <c r="M173" i="5"/>
  <c r="M123" i="5"/>
  <c r="M170" i="5"/>
  <c r="M117" i="5"/>
  <c r="M157" i="5"/>
  <c r="M114" i="5"/>
  <c r="M94" i="5"/>
  <c r="M132" i="5"/>
  <c r="M129" i="5"/>
  <c r="M171" i="5"/>
  <c r="M64" i="5"/>
  <c r="M128" i="5"/>
  <c r="M172" i="5"/>
  <c r="M42" i="5"/>
  <c r="M12" i="5"/>
  <c r="M35" i="5"/>
  <c r="M68" i="5"/>
  <c r="M90" i="5"/>
  <c r="M86" i="5"/>
  <c r="M168" i="5"/>
  <c r="M84" i="5"/>
  <c r="M124" i="5"/>
  <c r="M121" i="5"/>
  <c r="M106" i="5"/>
  <c r="M125" i="5"/>
  <c r="M151" i="5"/>
  <c r="M109" i="5"/>
  <c r="M88" i="5"/>
  <c r="M44" i="5"/>
  <c r="M81" i="5"/>
  <c r="M175" i="5"/>
  <c r="M16" i="5"/>
  <c r="M82" i="5"/>
  <c r="M107" i="5"/>
  <c r="M15" i="5"/>
  <c r="M49" i="5"/>
  <c r="G9" i="11"/>
  <c r="G8" i="11"/>
  <c r="G10" i="11"/>
  <c r="W11" i="5"/>
  <c r="D55" i="1"/>
  <c r="M203" i="5" l="1"/>
  <c r="G11" i="11"/>
  <c r="W203" i="5"/>
  <c r="P10" i="13"/>
  <c r="D11" i="6" l="1"/>
  <c r="F11" i="6"/>
  <c r="H11" i="6"/>
  <c r="J11" i="6"/>
  <c r="A3" i="8" l="1"/>
  <c r="A3" i="7"/>
  <c r="A3" i="6"/>
  <c r="A3" i="13"/>
  <c r="A3" i="1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Ali Akbar Iranshahi</author>
  </authors>
  <commentList>
    <comment ref="I7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Ali Akbar Iranshahi:</t>
        </r>
        <r>
          <rPr>
            <sz val="9"/>
            <color indexed="81"/>
            <rFont val="Tahoma"/>
            <family val="2"/>
          </rPr>
          <t xml:space="preserve">
از حاصل تقسیم ستون
E  
بر مجموع کل دارایی محاسبه می شود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Mehri Ghasabi</author>
  </authors>
  <commentList>
    <comment ref="C203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Mehri Ghasabi: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<sst xmlns="http://schemas.openxmlformats.org/spreadsheetml/2006/main" count="1971" uniqueCount="717">
  <si>
    <t>بهای تمام شده</t>
  </si>
  <si>
    <t>شرکت</t>
  </si>
  <si>
    <t>جمع</t>
  </si>
  <si>
    <t>تعداد</t>
  </si>
  <si>
    <t>خرید طی دوره</t>
  </si>
  <si>
    <t>فروش طی دوره</t>
  </si>
  <si>
    <t>مبلغ</t>
  </si>
  <si>
    <t>تغییرات طی دوره</t>
  </si>
  <si>
    <t>سپرده های بانکی</t>
  </si>
  <si>
    <t>شماره حساب</t>
  </si>
  <si>
    <t>نوع سپرده</t>
  </si>
  <si>
    <t>مشخصات حساب بانکی</t>
  </si>
  <si>
    <t>درآمد سود سهام</t>
  </si>
  <si>
    <t>درآمد تغییر ارزش</t>
  </si>
  <si>
    <t>درآمد فروش</t>
  </si>
  <si>
    <t>درآمد سود اوراق</t>
  </si>
  <si>
    <t>نام سپرده</t>
  </si>
  <si>
    <t>سود سپرده بانکی و گواهی سپرده</t>
  </si>
  <si>
    <t>درصد سود به میانگین سپرده</t>
  </si>
  <si>
    <t>درصد از کل درآمدها</t>
  </si>
  <si>
    <t>نام سپرده بانکی</t>
  </si>
  <si>
    <t>خالص ارزش فروش</t>
  </si>
  <si>
    <t>درصد به کل دارایی‌ها</t>
  </si>
  <si>
    <t>تاریخ سررسید</t>
  </si>
  <si>
    <t>سهام</t>
  </si>
  <si>
    <t>1- سرمایه گذاری ها</t>
  </si>
  <si>
    <t>1-1-سرمایه‌گذاری در سهام و حق تقدم سهام</t>
  </si>
  <si>
    <t>2- درآمد حاصل از سرمایه گذاری ها</t>
  </si>
  <si>
    <t>1-2-درآمد حاصل از سرمایه­گذاری در سهام و حق تقدم سهام:</t>
  </si>
  <si>
    <t>2-2-درآمد حاصل از سرمایه­گذاری در اوراق بهادار با درآمد ثابت:</t>
  </si>
  <si>
    <t>3-2-درآمد حاصل از سرمایه­گذاری در سپرده بانکی و گواهی سپرده:</t>
  </si>
  <si>
    <t>4-2-سایر درآمدها:</t>
  </si>
  <si>
    <t>سایر درآمدها</t>
  </si>
  <si>
    <t>تاریخ افتتاح حساب</t>
  </si>
  <si>
    <t>نرخ سود علی الحساب</t>
  </si>
  <si>
    <t>افزایش</t>
  </si>
  <si>
    <t>کاهش</t>
  </si>
  <si>
    <t>شرح</t>
  </si>
  <si>
    <t>یادداشت</t>
  </si>
  <si>
    <t>هزینه تنزیل</t>
  </si>
  <si>
    <t>خالص درآمد</t>
  </si>
  <si>
    <t>ارزش دفتری</t>
  </si>
  <si>
    <t>ارزش دفتری برابر است با میانگین موزون خالص ارزش فروش هر سهم/ورقه در ابتدای دوره با خرید طی دوره ضربدر تعداد در پایان دوره</t>
  </si>
  <si>
    <t>درآمد حاصل از سرمایه گذاری در سهام و حق تقدم سهام</t>
  </si>
  <si>
    <t>درآمد حاصل از سرمایه گذاری در اوراق بهادار با درآمد ثابت</t>
  </si>
  <si>
    <t>درآمد حاصل از سرمایه گذاری در سپرده بانکی و گواهی سپرده</t>
  </si>
  <si>
    <t>مبلغ فروش</t>
  </si>
  <si>
    <t xml:space="preserve">صورت وضعیت پرتفوی </t>
  </si>
  <si>
    <t>3-1- سرمایه‌گذاری در  سپرده‌ بانکی</t>
  </si>
  <si>
    <t>1-2</t>
  </si>
  <si>
    <t>2-2</t>
  </si>
  <si>
    <t>3-2</t>
  </si>
  <si>
    <t>4-2</t>
  </si>
  <si>
    <t xml:space="preserve">صورت وضعیت درآمدها </t>
  </si>
  <si>
    <t xml:space="preserve">درآمد سود </t>
  </si>
  <si>
    <t xml:space="preserve"> </t>
  </si>
  <si>
    <t>یادداشت الف</t>
  </si>
  <si>
    <t>یادداشت ب</t>
  </si>
  <si>
    <t>یادداشت ج</t>
  </si>
  <si>
    <t>د- سود اوراق بهادار با درآمد ثابت و سپرده بانکی</t>
  </si>
  <si>
    <t>یادداشت د</t>
  </si>
  <si>
    <t>2-1-سرمایه‌گذاری در اوراق بهادار با درآمد ثابت یا علی‌الحساب</t>
  </si>
  <si>
    <t>اطلاعات اوراق بهادار با درآمد ثابت</t>
  </si>
  <si>
    <t>نام اوراق</t>
  </si>
  <si>
    <t>دارای مجوز از سازمان</t>
  </si>
  <si>
    <t>تاریخ انتشار اوراق</t>
  </si>
  <si>
    <t>نرخ سود اسمی</t>
  </si>
  <si>
    <t>قیمت بازار هر ورقه</t>
  </si>
  <si>
    <t>گزارش وضعیت پرتفوی ماهانه</t>
  </si>
  <si>
    <t>‫پذیرفته شده در بورس یا فرابورس</t>
  </si>
  <si>
    <t>‫درآمد سود سهام</t>
  </si>
  <si>
    <t>‫اطلاعات مجمع</t>
  </si>
  <si>
    <t>‫نام سهام</t>
  </si>
  <si>
    <t>‫سود متعلق به هر سهم</t>
  </si>
  <si>
    <t>‫جمع درآمد سود سهام</t>
  </si>
  <si>
    <t>‫هزینه تنزیل</t>
  </si>
  <si>
    <t>‫خالص درآمد سود سهام</t>
  </si>
  <si>
    <t>درصد از کل داراییها</t>
  </si>
  <si>
    <t>نرخ سود علیالحساب</t>
  </si>
  <si>
    <t>درآمدها</t>
  </si>
  <si>
    <t>کوتاه مدت</t>
  </si>
  <si>
    <t>-</t>
  </si>
  <si>
    <t>تعدیل کارمزد کارگزاری‫</t>
  </si>
  <si>
    <t>صندوق سرمایه گذاری قابل معامله شاخصی  کیان</t>
  </si>
  <si>
    <t>صندوق سرمایه گذاری قابل معامله شاخصی کیان</t>
  </si>
  <si>
    <t>ج- سود(زیان) حاصل از فروش سهام</t>
  </si>
  <si>
    <t>ب- درآمد ناشی از تغییر قیمت سهام</t>
  </si>
  <si>
    <t>صندوق سرمایه گذاری  قابل معامله شاخصی کیان</t>
  </si>
  <si>
    <t>پالایش نفت اصفهان (شپنا)</t>
  </si>
  <si>
    <t>گسترش نفت و گاز پارسیان (پارسان)</t>
  </si>
  <si>
    <t>سالمین (غسالم)</t>
  </si>
  <si>
    <t>سیمان غرب (سغرب)</t>
  </si>
  <si>
    <t>بیمه آسیا (آسیا)</t>
  </si>
  <si>
    <t>تراکتورسازی (تایرا)</t>
  </si>
  <si>
    <t>کاشی حافظ (کحافظ)</t>
  </si>
  <si>
    <t>معدنی املاح ایران (شاملا)</t>
  </si>
  <si>
    <t>مدیریت صنعت شوینده ت.ص بهشهر (شوینده)</t>
  </si>
  <si>
    <t>لیزینگ صنعت و معدن (ولصنم)</t>
  </si>
  <si>
    <t>فجر انرژی خلیج فارس (بفجر)</t>
  </si>
  <si>
    <t>آلومینیوم ایران (فایرا)</t>
  </si>
  <si>
    <t>فرآورده های نسوز آذر (کاذر)</t>
  </si>
  <si>
    <t>فولاد سپید فراب کویر (کویر)</t>
  </si>
  <si>
    <t>فرآورده های نسوز ایران (کفرا)</t>
  </si>
  <si>
    <t>حفاری شمال (حفاری)</t>
  </si>
  <si>
    <t>سیمان صوفیان (سصوفی)</t>
  </si>
  <si>
    <t>صنعتی بهشهر (غبشهر)</t>
  </si>
  <si>
    <t>سیمان فارس و خوزستان (سفارس)</t>
  </si>
  <si>
    <t>سیمان ارومیه (ساروم)</t>
  </si>
  <si>
    <t>پارس دارو (دپارس)</t>
  </si>
  <si>
    <t>ایرکا پارت صنعت (خکار)</t>
  </si>
  <si>
    <t>بانک سینا (وسینا)</t>
  </si>
  <si>
    <t>بیمه ما (ما)</t>
  </si>
  <si>
    <t>نورد قطعات فولادی (فنورد)</t>
  </si>
  <si>
    <t>بهساز کاشانه تهران (ثبهساز)</t>
  </si>
  <si>
    <t>کارت اعتباری ایران کیش (رکیش)</t>
  </si>
  <si>
    <t>لیزینگ پارسیان (ولپارس)</t>
  </si>
  <si>
    <t>پارس سرام (کسرام)</t>
  </si>
  <si>
    <t>س.ص. بازنشستگی کارکنان بانکها (وسکاب)</t>
  </si>
  <si>
    <t>ارتباطات سیار (همراه)</t>
  </si>
  <si>
    <t>فولاد کاوه جنوب کیش (کاوه)</t>
  </si>
  <si>
    <t>مواد داروپخش (دتماد)</t>
  </si>
  <si>
    <t>سر. نفت و گاز تامین (تاپیکو)</t>
  </si>
  <si>
    <t>سرمایه گذاری و توسعه صنایع سیمان (سیدکو)</t>
  </si>
  <si>
    <t>سر. شاهد (ثشاهد)</t>
  </si>
  <si>
    <t>صنعتی بارز (پکرمان)</t>
  </si>
  <si>
    <t>سر. صدر تامین (تاصیکو)</t>
  </si>
  <si>
    <t>پتروشیمی شیراز (شیراز)</t>
  </si>
  <si>
    <t>کاشی سینا (کساوه)</t>
  </si>
  <si>
    <t>دارو امین (دامین)</t>
  </si>
  <si>
    <t>باما (کاما)</t>
  </si>
  <si>
    <t>چادرملو (کچاد)</t>
  </si>
  <si>
    <t>ماشین سازی اراک (فاراک)</t>
  </si>
  <si>
    <t>خاک چینی ایران (کخاک)</t>
  </si>
  <si>
    <t>واسپاری ملت (ولملت)</t>
  </si>
  <si>
    <t>سر. ملی (ونیکی)</t>
  </si>
  <si>
    <t>درخشان تهران (پدرخش)</t>
  </si>
  <si>
    <t>مارگارین (غمارگ)</t>
  </si>
  <si>
    <t>فولادخراسان (فخاس)</t>
  </si>
  <si>
    <t>قند ثابت خراسان (قثابت)</t>
  </si>
  <si>
    <t>همکاران سیستم (سیستم)</t>
  </si>
  <si>
    <t>بانک ملت (وبملت)</t>
  </si>
  <si>
    <t>سیمان تهران (ستران)</t>
  </si>
  <si>
    <t>گروه مپنا (رمپنا)</t>
  </si>
  <si>
    <t>سر. ایران خودرو (خگستر)</t>
  </si>
  <si>
    <t>دارو فارابی (دفارا)</t>
  </si>
  <si>
    <t>صنایع شیمیایی ایران (شیران)</t>
  </si>
  <si>
    <t>تامین سرمایه بانک ملت (تملت)</t>
  </si>
  <si>
    <t>خدمات انفورماتیک (رانفور)</t>
  </si>
  <si>
    <t>نفت سپاهان (شسپا)</t>
  </si>
  <si>
    <t>بیمه البرز (البرز)</t>
  </si>
  <si>
    <t>کاغذ پارس (چکاپا)</t>
  </si>
  <si>
    <t>نوش مازندران (غنوش)</t>
  </si>
  <si>
    <t>فروسیلیس ایران (فروس)</t>
  </si>
  <si>
    <t>صنعتی سپاهان (فسپا)</t>
  </si>
  <si>
    <t>لیزینگ کارآفرین (ولکار)</t>
  </si>
  <si>
    <t>تاید واتر خاورمیانه (حتاید)</t>
  </si>
  <si>
    <t>سر. غدیر (وغدیر)</t>
  </si>
  <si>
    <t>سر. صندوق بازنشستگی (وصندوق)</t>
  </si>
  <si>
    <t>سر. دارویی تامین (تیپیکو)</t>
  </si>
  <si>
    <t>قطعات اتومبیل (ختوقا)</t>
  </si>
  <si>
    <t>سر. سایپا (وساپا)</t>
  </si>
  <si>
    <t>تولید ژلاتین کپسول ایران (دکپسول)</t>
  </si>
  <si>
    <t>کاشی الوند (کلوند)</t>
  </si>
  <si>
    <t>فروشگاه های افق کوروش (افق)</t>
  </si>
  <si>
    <t>صنایع پتروشیمی کرمانشاه (کرماشا)</t>
  </si>
  <si>
    <t>کاشی پارس (کپارس)</t>
  </si>
  <si>
    <t>داروپخش (وپخش)</t>
  </si>
  <si>
    <t>نوسازی و ساختمان تهران (ثنوسا)</t>
  </si>
  <si>
    <t>آذراب (فاذر)</t>
  </si>
  <si>
    <t>صنایع ریخته گری ایران (خریخت)</t>
  </si>
  <si>
    <t>گل گهر (کگل)</t>
  </si>
  <si>
    <t>موتورسازان تراکتور (خموتور)</t>
  </si>
  <si>
    <t>لبنیات کالبر (غالبر)</t>
  </si>
  <si>
    <t>آبسال (لابسا)</t>
  </si>
  <si>
    <t>لیزینگ رایان سایپا (ولساپا)</t>
  </si>
  <si>
    <t>مهندسی حمل و نقل پتروشیمی (حپترو)</t>
  </si>
  <si>
    <t>دارو جابرابن حیان (دجابر)</t>
  </si>
  <si>
    <t>مهرام (غمهرا)</t>
  </si>
  <si>
    <t>کشت و صنعت چین چین (غچین)</t>
  </si>
  <si>
    <t>دارو عبیدی (دعبید)</t>
  </si>
  <si>
    <t>رینگ سازی مشهد (خرینگ)</t>
  </si>
  <si>
    <t>پرداخت الکترونیک سامان کیش (سپ)</t>
  </si>
  <si>
    <t>کالسیمین (فاسمین)</t>
  </si>
  <si>
    <t>پالایش نفت تهران (شتران)</t>
  </si>
  <si>
    <t>سر. توسعه صنعتی ایران (وتوصا)</t>
  </si>
  <si>
    <t>دارو اکسیر (دلر)</t>
  </si>
  <si>
    <t>پدیده شیمی قرن (قرن)</t>
  </si>
  <si>
    <t>سیمان مازندران (سمازن)</t>
  </si>
  <si>
    <t>پتروشیمی جم (جم)</t>
  </si>
  <si>
    <t>سیمان هگمتان (سهگمت)</t>
  </si>
  <si>
    <t>مبین انرژی خلیج فارس (مبین)</t>
  </si>
  <si>
    <t>ایران ترانسفو (بترانس)</t>
  </si>
  <si>
    <t>فولاد مبارکه اصفهان (فولاد)</t>
  </si>
  <si>
    <t>کیمیدارو (دکیمی)</t>
  </si>
  <si>
    <t>مس باهنر (فباهنر)</t>
  </si>
  <si>
    <t>سیمان شاهرود (سرود)</t>
  </si>
  <si>
    <t>سیمان بهبهان (سبهان)</t>
  </si>
  <si>
    <t>سر. شفا دارو (شفا)</t>
  </si>
  <si>
    <t>شیمی داروپخش (دشیمی)</t>
  </si>
  <si>
    <t>سیمان خاش (سخاش)</t>
  </si>
  <si>
    <t>تامین سرمایه نوین (تنوین)</t>
  </si>
  <si>
    <t>فنرسازی زر (خزر)</t>
  </si>
  <si>
    <t>بیمه پارسیان (پارسیان)</t>
  </si>
  <si>
    <t>لعابیران (شلعاب)</t>
  </si>
  <si>
    <t>لاستیک سهند (پسهند)</t>
  </si>
  <si>
    <t>سر. توسعه ملی (وتوسم)</t>
  </si>
  <si>
    <t>ملی صنایع مس ایران (فملی)</t>
  </si>
  <si>
    <t>سر. پارس توشه (وتوشه)</t>
  </si>
  <si>
    <t>فولاد امیرکبیر کاشان (فجر)</t>
  </si>
  <si>
    <t>قند هگمتان (قهکمت)</t>
  </si>
  <si>
    <t>پمپ ایران (تپمپی)</t>
  </si>
  <si>
    <t>صنعت غذایی کورش (غکورش)</t>
  </si>
  <si>
    <t>آسان پرداخت پرشین (آپ)</t>
  </si>
  <si>
    <t>بانک خاورمیانه (وخاور)</t>
  </si>
  <si>
    <t>سپید ماکیان (سپید)</t>
  </si>
  <si>
    <t>سیمان خوزستان (سخوز)</t>
  </si>
  <si>
    <t>توسعه معدنی و صنعتی صبانور (کنور)</t>
  </si>
  <si>
    <t>گروه بهمن (خبهمن)</t>
  </si>
  <si>
    <t>شهد ایران (غشهد)</t>
  </si>
  <si>
    <t>کویر تایر (پکویر)</t>
  </si>
  <si>
    <t>شیشه همدان (کهمدا)</t>
  </si>
  <si>
    <t>پتروشیمی خارک (شخارک)</t>
  </si>
  <si>
    <t>به پرداخت ملت (پرداخت)</t>
  </si>
  <si>
    <t>قند قزوین (قزوین)</t>
  </si>
  <si>
    <t>کاشی سعدی (کسعدی)</t>
  </si>
  <si>
    <t>پلاسکوکار سایپا (پلاسک)</t>
  </si>
  <si>
    <t>توسعه و عمران امید (ثامید)</t>
  </si>
  <si>
    <t>سر. بوعلی (وبوعلی)</t>
  </si>
  <si>
    <t>قند لرستان (قلرست)</t>
  </si>
  <si>
    <t>فرآورده نسوز پارس (کفپارس)</t>
  </si>
  <si>
    <t xml:space="preserve">کوتاه مدت خاورمیانه </t>
  </si>
  <si>
    <t>1005-10-810-707074271</t>
  </si>
  <si>
    <t>1401/04/04</t>
  </si>
  <si>
    <t>1401/04/11</t>
  </si>
  <si>
    <t>1401/04/13</t>
  </si>
  <si>
    <t>1401/04/14</t>
  </si>
  <si>
    <t>1401/04/15</t>
  </si>
  <si>
    <t>1401/04/16</t>
  </si>
  <si>
    <t>1401/04/18</t>
  </si>
  <si>
    <t>1401/04/20</t>
  </si>
  <si>
    <t>1401/04/21</t>
  </si>
  <si>
    <t>1401/04/22</t>
  </si>
  <si>
    <t>1401/04/23</t>
  </si>
  <si>
    <t>1401/04/25</t>
  </si>
  <si>
    <t>1401/04/26</t>
  </si>
  <si>
    <t>1401/04/28</t>
  </si>
  <si>
    <t>1401/04/29</t>
  </si>
  <si>
    <t>1401/04/30</t>
  </si>
  <si>
    <t>سایر در امد ها</t>
  </si>
  <si>
    <t>فرابورس</t>
  </si>
  <si>
    <t>1401/05/10</t>
  </si>
  <si>
    <t>1401/05/11</t>
  </si>
  <si>
    <t>1401/05/13</t>
  </si>
  <si>
    <t>1401/05/25</t>
  </si>
  <si>
    <t>1401/05/26</t>
  </si>
  <si>
    <t>1401/05/30</t>
  </si>
  <si>
    <t>شیشه دارویی رازی (کرازی)</t>
  </si>
  <si>
    <t>پاکسان (شپاکسا)</t>
  </si>
  <si>
    <t>پگاه اصفهان (غشصفا)</t>
  </si>
  <si>
    <t>پگاه خراسان (غشان)</t>
  </si>
  <si>
    <t>لامپ پارس شهاب (بشهاب)</t>
  </si>
  <si>
    <t>انتقال داده های آسیاتک (آسیاتک)</t>
  </si>
  <si>
    <t>فنرسازی خاور (خفنر)</t>
  </si>
  <si>
    <t>سر. نفت (ونفت)</t>
  </si>
  <si>
    <t>سرماآفرین (لسرما)</t>
  </si>
  <si>
    <t>پشم شیشه ایران (کپشیر)</t>
  </si>
  <si>
    <t>کشتیرانی ایران (حکشتی)</t>
  </si>
  <si>
    <t>ذغالسنگ نگین (کطبس)</t>
  </si>
  <si>
    <t>گلوکوزان (غگل)</t>
  </si>
  <si>
    <t>آریان کیمیا تک (کیمیاتک)</t>
  </si>
  <si>
    <t>موتوژن (بموتو)</t>
  </si>
  <si>
    <t>دوده صنعتی پارس (شدوص)</t>
  </si>
  <si>
    <t>قند اصفهان (قصفها)</t>
  </si>
  <si>
    <t>پارس مینو (غپینو)</t>
  </si>
  <si>
    <t>افست (چافست)</t>
  </si>
  <si>
    <t>پارس خزر (لخزر)</t>
  </si>
  <si>
    <t>سر. نفت و گاز تامین (حق تقدم) (تاپیکوح)</t>
  </si>
  <si>
    <t>ندارد</t>
  </si>
  <si>
    <t>همراه</t>
  </si>
  <si>
    <t>چافست</t>
  </si>
  <si>
    <t>آسیاتک</t>
  </si>
  <si>
    <t>بترانس</t>
  </si>
  <si>
    <t>خکار</t>
  </si>
  <si>
    <t>لابسا</t>
  </si>
  <si>
    <t>فاذر</t>
  </si>
  <si>
    <t>کیمیاتک</t>
  </si>
  <si>
    <t>آپ</t>
  </si>
  <si>
    <t>فایرا</t>
  </si>
  <si>
    <t>کاما</t>
  </si>
  <si>
    <t>وخاور</t>
  </si>
  <si>
    <t>وسینا</t>
  </si>
  <si>
    <t>وبملت</t>
  </si>
  <si>
    <t>پرداخت</t>
  </si>
  <si>
    <t>ثبهساز</t>
  </si>
  <si>
    <t>البرز</t>
  </si>
  <si>
    <t>آسیا</t>
  </si>
  <si>
    <t>پارسیان</t>
  </si>
  <si>
    <t>ما</t>
  </si>
  <si>
    <t>لخزر</t>
  </si>
  <si>
    <t>دپارس</t>
  </si>
  <si>
    <t>کسرام</t>
  </si>
  <si>
    <t>غپینو</t>
  </si>
  <si>
    <t>شپاکسا</t>
  </si>
  <si>
    <t>شپنا</t>
  </si>
  <si>
    <t>شتران</t>
  </si>
  <si>
    <t>جم</t>
  </si>
  <si>
    <t>شخارک</t>
  </si>
  <si>
    <t>شیراز</t>
  </si>
  <si>
    <t>قرن</t>
  </si>
  <si>
    <t>سپ</t>
  </si>
  <si>
    <t>کپشیر</t>
  </si>
  <si>
    <t>غشصفا</t>
  </si>
  <si>
    <t>غشان</t>
  </si>
  <si>
    <t>پلاسک</t>
  </si>
  <si>
    <t>تپمپی</t>
  </si>
  <si>
    <t>تملت</t>
  </si>
  <si>
    <t>تنوین</t>
  </si>
  <si>
    <t>حتاید</t>
  </si>
  <si>
    <t>تایرا</t>
  </si>
  <si>
    <t>کنور</t>
  </si>
  <si>
    <t>ثامید</t>
  </si>
  <si>
    <t>دکپسول</t>
  </si>
  <si>
    <t>کچاد</t>
  </si>
  <si>
    <t>حفاری</t>
  </si>
  <si>
    <t>کخاک</t>
  </si>
  <si>
    <t>رانفور</t>
  </si>
  <si>
    <t>دلر</t>
  </si>
  <si>
    <t>دامین</t>
  </si>
  <si>
    <t>دجابر</t>
  </si>
  <si>
    <t>دعبید</t>
  </si>
  <si>
    <t>دفارا</t>
  </si>
  <si>
    <t>وپخش</t>
  </si>
  <si>
    <t>پدرخش</t>
  </si>
  <si>
    <t>شدوص</t>
  </si>
  <si>
    <t>کطبس</t>
  </si>
  <si>
    <t>خرینگ</t>
  </si>
  <si>
    <t>وسکاب</t>
  </si>
  <si>
    <t>غسالم</t>
  </si>
  <si>
    <t>سپید</t>
  </si>
  <si>
    <t>خگستر</t>
  </si>
  <si>
    <t>وبوعلی</t>
  </si>
  <si>
    <t>وتوشه</t>
  </si>
  <si>
    <t>وتوصا</t>
  </si>
  <si>
    <t>وتوسم</t>
  </si>
  <si>
    <t>تیپیکو</t>
  </si>
  <si>
    <t>وساپا</t>
  </si>
  <si>
    <t>ثشاهد</t>
  </si>
  <si>
    <t>شفا</t>
  </si>
  <si>
    <t>تاصیکو</t>
  </si>
  <si>
    <t>وصندوق</t>
  </si>
  <si>
    <t>وغدیر</t>
  </si>
  <si>
    <t>ونیکی</t>
  </si>
  <si>
    <t>ونفت</t>
  </si>
  <si>
    <t>تاپیکو</t>
  </si>
  <si>
    <t>لسرما</t>
  </si>
  <si>
    <t>سیدکو</t>
  </si>
  <si>
    <t>ساروم</t>
  </si>
  <si>
    <t>سبهان</t>
  </si>
  <si>
    <t>ستران</t>
  </si>
  <si>
    <t>سخاش</t>
  </si>
  <si>
    <t>سخوز</t>
  </si>
  <si>
    <t>سرود</t>
  </si>
  <si>
    <t>سصوفی</t>
  </si>
  <si>
    <t>سغرب</t>
  </si>
  <si>
    <t>سفارس</t>
  </si>
  <si>
    <t>سمازن</t>
  </si>
  <si>
    <t>سهگمت</t>
  </si>
  <si>
    <t>غشهد</t>
  </si>
  <si>
    <t>کرازی</t>
  </si>
  <si>
    <t>کهمدا</t>
  </si>
  <si>
    <t>دشیمی</t>
  </si>
  <si>
    <t>کرماشا</t>
  </si>
  <si>
    <t>خریخت</t>
  </si>
  <si>
    <t>شیران</t>
  </si>
  <si>
    <t>غکورش</t>
  </si>
  <si>
    <t>پکرمان</t>
  </si>
  <si>
    <t>غبشهر</t>
  </si>
  <si>
    <t>فسپا</t>
  </si>
  <si>
    <t>بفجر</t>
  </si>
  <si>
    <t>کفپارس</t>
  </si>
  <si>
    <t>کفرا</t>
  </si>
  <si>
    <t>کاذر</t>
  </si>
  <si>
    <t>فروس</t>
  </si>
  <si>
    <t>افق</t>
  </si>
  <si>
    <t>خفنر</t>
  </si>
  <si>
    <t>خزر</t>
  </si>
  <si>
    <t>فجر</t>
  </si>
  <si>
    <t>کویر</t>
  </si>
  <si>
    <t>کاوه</t>
  </si>
  <si>
    <t>فولاد</t>
  </si>
  <si>
    <t>فخاس</t>
  </si>
  <si>
    <t>ختوقا</t>
  </si>
  <si>
    <t>قصفها</t>
  </si>
  <si>
    <t>قثابت</t>
  </si>
  <si>
    <t>قزوین</t>
  </si>
  <si>
    <t>قلرست</t>
  </si>
  <si>
    <t>قهکمت</t>
  </si>
  <si>
    <t>رکیش</t>
  </si>
  <si>
    <t>کلوند</t>
  </si>
  <si>
    <t>کپارس</t>
  </si>
  <si>
    <t>کحافظ</t>
  </si>
  <si>
    <t>کسعدی</t>
  </si>
  <si>
    <t>کساوه</t>
  </si>
  <si>
    <t>چکاپا</t>
  </si>
  <si>
    <t>فاسمین</t>
  </si>
  <si>
    <t>غچین</t>
  </si>
  <si>
    <t>حکشتی</t>
  </si>
  <si>
    <t>پکویر</t>
  </si>
  <si>
    <t>دکیمی</t>
  </si>
  <si>
    <t>خبهمن</t>
  </si>
  <si>
    <t>رمپنا</t>
  </si>
  <si>
    <t>پارسان</t>
  </si>
  <si>
    <t>کگل</t>
  </si>
  <si>
    <t>غگل</t>
  </si>
  <si>
    <t>پسهند</t>
  </si>
  <si>
    <t>بشهاب</t>
  </si>
  <si>
    <t>غالبر</t>
  </si>
  <si>
    <t>شلعاب</t>
  </si>
  <si>
    <t>ولپارس</t>
  </si>
  <si>
    <t>ولساپا</t>
  </si>
  <si>
    <t>ولصنم</t>
  </si>
  <si>
    <t>ولکار</t>
  </si>
  <si>
    <t>غمارگ</t>
  </si>
  <si>
    <t>فاراک</t>
  </si>
  <si>
    <t>مبین</t>
  </si>
  <si>
    <t>شوینده</t>
  </si>
  <si>
    <t>فباهنر</t>
  </si>
  <si>
    <t>شاملا</t>
  </si>
  <si>
    <t>فملی</t>
  </si>
  <si>
    <t>غمهرا</t>
  </si>
  <si>
    <t>حپترو</t>
  </si>
  <si>
    <t>دتماد</t>
  </si>
  <si>
    <t>خموتور</t>
  </si>
  <si>
    <t>بموتو</t>
  </si>
  <si>
    <t>شسپا</t>
  </si>
  <si>
    <t>فنورد</t>
  </si>
  <si>
    <t>ثنوسا</t>
  </si>
  <si>
    <t>غنوش</t>
  </si>
  <si>
    <t>سیستم</t>
  </si>
  <si>
    <t>ولملت</t>
  </si>
  <si>
    <t>ریخته گری تراکتور (ختراک)</t>
  </si>
  <si>
    <t>حمل و نقل توکا (حتوکا)</t>
  </si>
  <si>
    <t>سر. ملی (حق تقدم) (ونیکیح)</t>
  </si>
  <si>
    <t>بیمه پارسیان (حق تقدم) (پارسیانح)</t>
  </si>
  <si>
    <t>کوتاه مدت سامان</t>
  </si>
  <si>
    <t>864-810-4013857-1</t>
  </si>
  <si>
    <t>1401/06/06</t>
  </si>
  <si>
    <t>1401/06/12</t>
  </si>
  <si>
    <t>اسنادخزانه-م3بودجه00-030418 (اخزا003)</t>
  </si>
  <si>
    <t>حتوکا</t>
  </si>
  <si>
    <t>ختراک</t>
  </si>
  <si>
    <t>تاپیکوح</t>
  </si>
  <si>
    <t>پارسیانح</t>
  </si>
  <si>
    <t>ونیکیح</t>
  </si>
  <si>
    <t>سخاشح</t>
  </si>
  <si>
    <t>داریی‌ها</t>
  </si>
  <si>
    <t>شیمی داروپخش (حق تقدم) (دشیمیح)</t>
  </si>
  <si>
    <t>1,939</t>
  </si>
  <si>
    <t>کوتاه مدت ملی</t>
  </si>
  <si>
    <t>0228580460005</t>
  </si>
  <si>
    <t>1401/07/30</t>
  </si>
  <si>
    <t>عچین</t>
  </si>
  <si>
    <t>عالبر</t>
  </si>
  <si>
    <t>1401/07/27</t>
  </si>
  <si>
    <t>1401/07/04</t>
  </si>
  <si>
    <t>1401/07/26</t>
  </si>
  <si>
    <t>1401/07/10</t>
  </si>
  <si>
    <t>دشیمیح</t>
  </si>
  <si>
    <t>سود و زیان ناشی
از فروش</t>
  </si>
  <si>
    <t>خالص ارزش
فروش</t>
  </si>
  <si>
    <t>خالص بهای
فروش</t>
  </si>
  <si>
    <t>سود و زیان ناشی
از تغییر قیمت</t>
  </si>
  <si>
    <t>ارزش دفتری برابر است با میانگین موزون خالص ارزش فروش هر سهم/ورقه در ابتدای دوره با خرید طی دوره ضربدر تعداد در پایان</t>
  </si>
  <si>
    <t>قیمت بازار
هر سهم</t>
  </si>
  <si>
    <t>درصد به 
کل دارایی‌ها</t>
  </si>
  <si>
    <t>‫تاریخ تشکیل
مجمع</t>
  </si>
  <si>
    <t>‫تعداد سهام متعلقه
در زمان مجمع</t>
  </si>
  <si>
    <t>1,920</t>
  </si>
  <si>
    <t>ایران ارقام (مرقام)</t>
  </si>
  <si>
    <t>برق آبادان (آبادا)</t>
  </si>
  <si>
    <t>بورس اوراق بهادار تهران (بورس)</t>
  </si>
  <si>
    <t>بورس کالای ایران (کالا)</t>
  </si>
  <si>
    <t>پشم شیشه ایران (حق تقدم) (کپشیرح)</t>
  </si>
  <si>
    <t>جوشکاب یزد (بکاب)</t>
  </si>
  <si>
    <t>چدن سازان (چدن)</t>
  </si>
  <si>
    <t>دارویی برکت (برکت)</t>
  </si>
  <si>
    <t>زامیاد (خزامیا)</t>
  </si>
  <si>
    <t>سر. مسکن (ثمسکن)</t>
  </si>
  <si>
    <t>سیمرغ (سیمرغ)</t>
  </si>
  <si>
    <t>شهد (قشهد)</t>
  </si>
  <si>
    <t>شهید قندی (بکام)</t>
  </si>
  <si>
    <t>کارخانجات داروپخش (دارو)</t>
  </si>
  <si>
    <t>لیزینگ خودرو غدیر (ولغدر)</t>
  </si>
  <si>
    <t>نفت بهران (شبهرن)</t>
  </si>
  <si>
    <t>نیروکلر (شکلر)</t>
  </si>
  <si>
    <t>1401/08/14</t>
  </si>
  <si>
    <t>1401/08/29</t>
  </si>
  <si>
    <t>مرقام</t>
  </si>
  <si>
    <t>آبادا</t>
  </si>
  <si>
    <t>بورس</t>
  </si>
  <si>
    <t>کالا</t>
  </si>
  <si>
    <t>کپشیرح</t>
  </si>
  <si>
    <t>بکاب</t>
  </si>
  <si>
    <t>چدن</t>
  </si>
  <si>
    <t>برکت</t>
  </si>
  <si>
    <t>خزامیا</t>
  </si>
  <si>
    <t>ثمسکن</t>
  </si>
  <si>
    <t>سیمرغ</t>
  </si>
  <si>
    <t>قشهد</t>
  </si>
  <si>
    <t>بکام</t>
  </si>
  <si>
    <t>دارو</t>
  </si>
  <si>
    <t>ولغدر</t>
  </si>
  <si>
    <t>شبهرن</t>
  </si>
  <si>
    <t>شکلر</t>
  </si>
  <si>
    <t>1401/09/30</t>
  </si>
  <si>
    <t>ایران یاسا (پاسا)</t>
  </si>
  <si>
    <t>زر ماکارون (غزر)</t>
  </si>
  <si>
    <t>سیمان آبیک (سآبیک)</t>
  </si>
  <si>
    <t>فولادخراسان (حق تقدم) (فخاسح)</t>
  </si>
  <si>
    <t>7,490</t>
  </si>
  <si>
    <t>3,358</t>
  </si>
  <si>
    <t>13,900</t>
  </si>
  <si>
    <t>4,698</t>
  </si>
  <si>
    <t>12,250</t>
  </si>
  <si>
    <t>9,850</t>
  </si>
  <si>
    <t>20,300</t>
  </si>
  <si>
    <t>10,140</t>
  </si>
  <si>
    <t>6,950</t>
  </si>
  <si>
    <t>3,791</t>
  </si>
  <si>
    <t>6,460</t>
  </si>
  <si>
    <t>1401/09/13</t>
  </si>
  <si>
    <t>1401/09/19</t>
  </si>
  <si>
    <t>منتهی به 1401/10/30</t>
  </si>
  <si>
    <t>برای ماه منتهی به 1401/10/30</t>
  </si>
  <si>
    <t>1401/10/30</t>
  </si>
  <si>
    <t>طی دی ماه</t>
  </si>
  <si>
    <t>از ابتدای سال مالی تا پایان دی ماه</t>
  </si>
  <si>
    <t>طی  دی ماه</t>
  </si>
  <si>
    <t>از ابتدای سال مالی تا پایان  دی ماه</t>
  </si>
  <si>
    <t>داده گستر عصر نوین - های وب (های وب)</t>
  </si>
  <si>
    <t>سیمان اردستان (اردستان)</t>
  </si>
  <si>
    <t>1401/10/29</t>
  </si>
  <si>
    <t>1401/10/26</t>
  </si>
  <si>
    <t>1401/10/28</t>
  </si>
  <si>
    <t>1401/10/04</t>
  </si>
  <si>
    <t>سیمان خاش (حق تقدم) (سخاشح)</t>
  </si>
  <si>
    <t>8,670</t>
  </si>
  <si>
    <t>16,930</t>
  </si>
  <si>
    <t>11,940</t>
  </si>
  <si>
    <t>2,301</t>
  </si>
  <si>
    <t>10,780</t>
  </si>
  <si>
    <t>3,080</t>
  </si>
  <si>
    <t>5,187</t>
  </si>
  <si>
    <t>1,470</t>
  </si>
  <si>
    <t>12,760</t>
  </si>
  <si>
    <t>5,900</t>
  </si>
  <si>
    <t>8,860</t>
  </si>
  <si>
    <t>4,374</t>
  </si>
  <si>
    <t>3,200</t>
  </si>
  <si>
    <t>3,578</t>
  </si>
  <si>
    <t>11,810</t>
  </si>
  <si>
    <t>11,503</t>
  </si>
  <si>
    <t>2,104</t>
  </si>
  <si>
    <t>7,110</t>
  </si>
  <si>
    <t>21,450</t>
  </si>
  <si>
    <t>2,119</t>
  </si>
  <si>
    <t>2,100</t>
  </si>
  <si>
    <t>3,780</t>
  </si>
  <si>
    <t>3,430</t>
  </si>
  <si>
    <t>13,727</t>
  </si>
  <si>
    <t>42,040</t>
  </si>
  <si>
    <t>6,470</t>
  </si>
  <si>
    <t>3,702</t>
  </si>
  <si>
    <t>2,200</t>
  </si>
  <si>
    <t>7,960</t>
  </si>
  <si>
    <t>38,000</t>
  </si>
  <si>
    <t>41,080</t>
  </si>
  <si>
    <t>76,920</t>
  </si>
  <si>
    <t>20,690</t>
  </si>
  <si>
    <t>16,880</t>
  </si>
  <si>
    <t>4,846</t>
  </si>
  <si>
    <t>8,180</t>
  </si>
  <si>
    <t>23,800</t>
  </si>
  <si>
    <t>7,860</t>
  </si>
  <si>
    <t>4,512</t>
  </si>
  <si>
    <t>23,440</t>
  </si>
  <si>
    <t>3,357</t>
  </si>
  <si>
    <t>5,640</t>
  </si>
  <si>
    <t>28,450</t>
  </si>
  <si>
    <t>17,430</t>
  </si>
  <si>
    <t>1,894</t>
  </si>
  <si>
    <t>31,750</t>
  </si>
  <si>
    <t>12,180</t>
  </si>
  <si>
    <t>2,619</t>
  </si>
  <si>
    <t>4,590</t>
  </si>
  <si>
    <t>7,640</t>
  </si>
  <si>
    <t>15,640</t>
  </si>
  <si>
    <t>4,633</t>
  </si>
  <si>
    <t>2,762</t>
  </si>
  <si>
    <t>24,570</t>
  </si>
  <si>
    <t>3,680</t>
  </si>
  <si>
    <t>14,480</t>
  </si>
  <si>
    <t>40,580</t>
  </si>
  <si>
    <t>13,760</t>
  </si>
  <si>
    <t>12,600</t>
  </si>
  <si>
    <t>17,040</t>
  </si>
  <si>
    <t>13,820</t>
  </si>
  <si>
    <t>29,700</t>
  </si>
  <si>
    <t>4,167</t>
  </si>
  <si>
    <t>3,223</t>
  </si>
  <si>
    <t>4,839</t>
  </si>
  <si>
    <t>21,670</t>
  </si>
  <si>
    <t>2,741</t>
  </si>
  <si>
    <t>8,810</t>
  </si>
  <si>
    <t>5,322</t>
  </si>
  <si>
    <t>26,280</t>
  </si>
  <si>
    <t>6,380</t>
  </si>
  <si>
    <t>10,030</t>
  </si>
  <si>
    <t>18,290</t>
  </si>
  <si>
    <t>12,400</t>
  </si>
  <si>
    <t>14,830</t>
  </si>
  <si>
    <t>18,730</t>
  </si>
  <si>
    <t>4,800</t>
  </si>
  <si>
    <t>7,030</t>
  </si>
  <si>
    <t>4,530</t>
  </si>
  <si>
    <t>13,400</t>
  </si>
  <si>
    <t>27,590</t>
  </si>
  <si>
    <t>10,000</t>
  </si>
  <si>
    <t>14,250</t>
  </si>
  <si>
    <t>35,050</t>
  </si>
  <si>
    <t>70,700</t>
  </si>
  <si>
    <t>32,630</t>
  </si>
  <si>
    <t>24,350</t>
  </si>
  <si>
    <t>21,510</t>
  </si>
  <si>
    <t>16,590</t>
  </si>
  <si>
    <t>39,530</t>
  </si>
  <si>
    <t>27,330</t>
  </si>
  <si>
    <t>16,060</t>
  </si>
  <si>
    <t>7,270</t>
  </si>
  <si>
    <t>2,622</t>
  </si>
  <si>
    <t>1,560</t>
  </si>
  <si>
    <t>11,190</t>
  </si>
  <si>
    <t>24,490</t>
  </si>
  <si>
    <t>62,280</t>
  </si>
  <si>
    <t>4,242</t>
  </si>
  <si>
    <t>10,980</t>
  </si>
  <si>
    <t>10,290</t>
  </si>
  <si>
    <t>18,200</t>
  </si>
  <si>
    <t>3,070</t>
  </si>
  <si>
    <t>4,753</t>
  </si>
  <si>
    <t>21,320</t>
  </si>
  <si>
    <t>4,550</t>
  </si>
  <si>
    <t>8,990</t>
  </si>
  <si>
    <t>5,348</t>
  </si>
  <si>
    <t>6,810</t>
  </si>
  <si>
    <t>15,330</t>
  </si>
  <si>
    <t>12,950</t>
  </si>
  <si>
    <t>5,470</t>
  </si>
  <si>
    <t>16,400</t>
  </si>
  <si>
    <t>3,540</t>
  </si>
  <si>
    <t>7,910</t>
  </si>
  <si>
    <t>9,930</t>
  </si>
  <si>
    <t>11,390</t>
  </si>
  <si>
    <t>4,999</t>
  </si>
  <si>
    <t>92,330</t>
  </si>
  <si>
    <t>2,783</t>
  </si>
  <si>
    <t>6,610</t>
  </si>
  <si>
    <t>23,130</t>
  </si>
  <si>
    <t>8,760</t>
  </si>
  <si>
    <t>3,256</t>
  </si>
  <si>
    <t>22,000</t>
  </si>
  <si>
    <t>35,040</t>
  </si>
  <si>
    <t>11,680</t>
  </si>
  <si>
    <t>52,400</t>
  </si>
  <si>
    <t>3,120</t>
  </si>
  <si>
    <t>25,350</t>
  </si>
  <si>
    <t>5,742</t>
  </si>
  <si>
    <t>30,200</t>
  </si>
  <si>
    <t>6,090</t>
  </si>
  <si>
    <t>31,300</t>
  </si>
  <si>
    <t>2,463</t>
  </si>
  <si>
    <t>12,030</t>
  </si>
  <si>
    <t>33,210</t>
  </si>
  <si>
    <t>9,160</t>
  </si>
  <si>
    <t>6,300</t>
  </si>
  <si>
    <t>38,900</t>
  </si>
  <si>
    <t>16,711</t>
  </si>
  <si>
    <t>27,000</t>
  </si>
  <si>
    <t>4,504</t>
  </si>
  <si>
    <t>1,729</t>
  </si>
  <si>
    <t>4,760</t>
  </si>
  <si>
    <t>8,700</t>
  </si>
  <si>
    <t>1,621</t>
  </si>
  <si>
    <t>32,890</t>
  </si>
  <si>
    <t>19,460</t>
  </si>
  <si>
    <t>32,850</t>
  </si>
  <si>
    <t>12,310</t>
  </si>
  <si>
    <t>7,900</t>
  </si>
  <si>
    <t>7,850</t>
  </si>
  <si>
    <t>40,160</t>
  </si>
  <si>
    <t>39,440</t>
  </si>
  <si>
    <t>3,091</t>
  </si>
  <si>
    <t>20,260</t>
  </si>
  <si>
    <t>16,420</t>
  </si>
  <si>
    <t>4,794</t>
  </si>
  <si>
    <t>9,920</t>
  </si>
  <si>
    <t>28,900</t>
  </si>
  <si>
    <t>7,840</t>
  </si>
  <si>
    <t>5,250</t>
  </si>
  <si>
    <t>سایر درامدها 37373831</t>
  </si>
  <si>
    <t xml:space="preserve">315190778تعدیل </t>
  </si>
  <si>
    <t>پاسا</t>
  </si>
  <si>
    <t>های وب</t>
  </si>
  <si>
    <t>غزر</t>
  </si>
  <si>
    <t>اردستان</t>
  </si>
  <si>
    <t>سآبیک</t>
  </si>
  <si>
    <t>فخاسح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</si>
</sst>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_);_(* \(#,##0\);_(* &quot;-&quot;??_);_(@_)"/>
    <numFmt numFmtId="165" formatCode="#,##0_-;[Red]\(#,##0\)"/>
    <numFmt numFmtId="166" formatCode="#,##0.0000000_);\(#,##0.0000000\)"/>
    <numFmt numFmtId="167" formatCode="#,##0.0000000000_);\(#,##0.0000000000\)"/>
  </numFmts>
  <fonts count="59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charset val="178"/>
      <scheme val="minor"/>
    </font>
    <font>
      <b/>
      <sz val="20"/>
      <color theme="1"/>
      <name val="B Mitra"/>
      <charset val="178"/>
    </font>
    <font>
      <sz val="20"/>
      <color theme="1"/>
      <name val="B Mitra"/>
      <charset val="178"/>
    </font>
    <font>
      <b/>
      <sz val="20"/>
      <color rgb="FF0062AC"/>
      <name val="B Mitra"/>
      <charset val="178"/>
    </font>
    <font>
      <sz val="20"/>
      <name val="B Mitra"/>
      <charset val="178"/>
    </font>
    <font>
      <b/>
      <sz val="16"/>
      <color theme="1"/>
      <name val="B Mitra"/>
      <charset val="178"/>
    </font>
    <font>
      <sz val="14"/>
      <color theme="1"/>
      <name val="B Mitra"/>
      <charset val="178"/>
    </font>
    <font>
      <b/>
      <sz val="16"/>
      <color rgb="FF0062AC"/>
      <name val="B Mitra"/>
      <charset val="178"/>
    </font>
    <font>
      <b/>
      <sz val="10"/>
      <color theme="1"/>
      <name val="B Mitra"/>
      <charset val="178"/>
    </font>
    <font>
      <sz val="12"/>
      <name val="B Mitra"/>
      <charset val="178"/>
    </font>
    <font>
      <sz val="11"/>
      <color theme="1"/>
      <name val="B Mitra"/>
      <charset val="178"/>
    </font>
    <font>
      <sz val="16"/>
      <color theme="1"/>
      <name val="B Mitra"/>
      <charset val="178"/>
    </font>
    <font>
      <sz val="10"/>
      <color theme="1"/>
      <name val="B Mitra"/>
      <charset val="178"/>
    </font>
    <font>
      <b/>
      <sz val="18"/>
      <color theme="1"/>
      <name val="B Mitra"/>
      <charset val="178"/>
    </font>
    <font>
      <b/>
      <sz val="12"/>
      <color theme="1"/>
      <name val="B Mitra"/>
      <charset val="178"/>
    </font>
    <font>
      <b/>
      <sz val="12"/>
      <color rgb="FF0062AC"/>
      <name val="B Mitra"/>
      <charset val="178"/>
    </font>
    <font>
      <sz val="12"/>
      <color theme="1"/>
      <name val="B Mitra"/>
      <charset val="178"/>
    </font>
    <font>
      <b/>
      <sz val="12"/>
      <color rgb="FFC00000"/>
      <name val="B Mitra"/>
      <charset val="178"/>
    </font>
    <font>
      <b/>
      <sz val="14"/>
      <color theme="1"/>
      <name val="B Mitra"/>
      <charset val="178"/>
    </font>
    <font>
      <b/>
      <sz val="14"/>
      <color rgb="FF000000"/>
      <name val="B Mitra"/>
      <charset val="178"/>
    </font>
    <font>
      <b/>
      <sz val="16"/>
      <color rgb="FF000000"/>
      <name val="B Mitra"/>
      <charset val="178"/>
    </font>
    <font>
      <sz val="16"/>
      <color rgb="FF000000"/>
      <name val="B Mitra"/>
      <charset val="178"/>
    </font>
    <font>
      <b/>
      <sz val="14"/>
      <color rgb="FF0062AC"/>
      <name val="B Mitra"/>
      <charset val="178"/>
    </font>
    <font>
      <sz val="14"/>
      <name val="B Mitra"/>
      <charset val="178"/>
    </font>
    <font>
      <b/>
      <sz val="12"/>
      <name val="B Mitra"/>
      <charset val="178"/>
    </font>
    <font>
      <b/>
      <sz val="12"/>
      <color rgb="FF000000"/>
      <name val="B Mitra"/>
      <charset val="178"/>
    </font>
    <font>
      <sz val="12"/>
      <color rgb="FF000000"/>
      <name val="B Mitra"/>
      <charset val="178"/>
    </font>
    <font>
      <sz val="14"/>
      <color rgb="FF000000"/>
      <name val="B Mitra"/>
      <charset val="178"/>
    </font>
    <font>
      <sz val="12"/>
      <name val="B Nazanin"/>
      <charset val="178"/>
    </font>
    <font>
      <b/>
      <sz val="26"/>
      <color theme="1"/>
      <name val="B Mitra"/>
      <charset val="178"/>
    </font>
    <font>
      <sz val="18"/>
      <name val="B Mitra"/>
      <charset val="178"/>
    </font>
    <font>
      <b/>
      <sz val="12"/>
      <color theme="1"/>
      <name val="B Nazanin"/>
      <charset val="178"/>
    </font>
    <font>
      <sz val="11"/>
      <color indexed="8"/>
      <name val="B Nazanin"/>
      <charset val="178"/>
    </font>
    <font>
      <b/>
      <sz val="12"/>
      <color rgb="FF0062AC"/>
      <name val="B Nazanin"/>
      <charset val="178"/>
    </font>
    <font>
      <b/>
      <sz val="16"/>
      <name val="B Mitra"/>
      <charset val="178"/>
    </font>
    <font>
      <b/>
      <sz val="10"/>
      <color rgb="FF000000"/>
      <name val="B Mitra"/>
      <charset val="178"/>
    </font>
    <font>
      <u/>
      <sz val="11"/>
      <color theme="10"/>
      <name val="Calibri"/>
      <family val="2"/>
      <scheme val="minor"/>
    </font>
    <font>
      <sz val="22"/>
      <color theme="1"/>
      <name val="B Mitra"/>
      <charset val="178"/>
    </font>
    <font>
      <sz val="14"/>
      <color rgb="FFFF0000"/>
      <name val="B Mitra"/>
      <charset val="178"/>
    </font>
    <font>
      <sz val="9"/>
      <color rgb="FF2E2E2E"/>
      <name val="WYekan"/>
    </font>
    <font>
      <sz val="16"/>
      <color rgb="FFFF0000"/>
      <name val="B Mitra"/>
      <charset val="178"/>
    </font>
    <font>
      <b/>
      <sz val="16"/>
      <color rgb="FFFF0000"/>
      <name val="B Mitra"/>
      <charset val="178"/>
    </font>
    <font>
      <b/>
      <sz val="16"/>
      <color theme="1"/>
      <name val="B Nazanin"/>
      <charset val="178"/>
    </font>
    <font>
      <sz val="11"/>
      <color rgb="FF0070C0"/>
      <name val="B Mitra"/>
      <charset val="178"/>
    </font>
    <font>
      <sz val="16"/>
      <name val="B Mitra"/>
      <charset val="178"/>
    </font>
    <font>
      <b/>
      <sz val="14"/>
      <name val="B Mitra"/>
      <charset val="178"/>
    </font>
    <font>
      <sz val="11"/>
      <color rgb="FFFF0000"/>
      <name val="B Mitra"/>
      <charset val="178"/>
    </font>
    <font>
      <sz val="12"/>
      <color rgb="FFFF0000"/>
      <name val="B Mitra"/>
      <charset val="178"/>
    </font>
    <font>
      <sz val="20"/>
      <color rgb="FFFF0000"/>
      <name val="B Mitra"/>
      <charset val="178"/>
    </font>
    <font>
      <sz val="18"/>
      <color theme="1"/>
      <name val="B Mitra"/>
      <charset val="178"/>
    </font>
    <font>
      <sz val="18"/>
      <color rgb="FFFF0000"/>
      <name val="B Mitra"/>
      <charset val="178"/>
    </font>
    <font>
      <b/>
      <sz val="14"/>
      <color rgb="FF7030A0"/>
      <name val="B Mitra"/>
      <charset val="178"/>
    </font>
    <font>
      <b/>
      <sz val="20"/>
      <color rgb="FF7030A0"/>
      <name val="B Mitra"/>
      <charset val="178"/>
    </font>
    <font>
      <sz val="8"/>
      <name val="Calibri"/>
      <family val="2"/>
      <charset val="178"/>
      <scheme val="minor"/>
    </font>
    <font>
      <b/>
      <sz val="16"/>
      <color theme="5" tint="-0.249977111117893"/>
      <name val="B Mitra"/>
      <charset val="17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40" fillId="0" borderId="0" applyNumberFormat="0" applyFill="0" applyBorder="0" applyAlignment="0" applyProtection="0"/>
  </cellStyleXfs>
  <cellXfs count="358">
    <xf numFmtId="0" fontId="0" fillId="0" borderId="0" xfId="0"/>
    <xf numFmtId="0" fontId="20" fillId="0" borderId="1" xfId="0" applyFont="1" applyBorder="1" applyAlignment="1">
      <alignment horizontal="center"/>
    </xf>
    <xf numFmtId="165" fontId="10" fillId="0" borderId="0" xfId="1" applyNumberFormat="1" applyFont="1" applyFill="1"/>
    <xf numFmtId="0" fontId="18" fillId="0" borderId="0" xfId="0" applyFont="1"/>
    <xf numFmtId="0" fontId="10" fillId="0" borderId="0" xfId="0" applyFont="1"/>
    <xf numFmtId="0" fontId="20" fillId="0" borderId="0" xfId="0" applyFont="1"/>
    <xf numFmtId="164" fontId="6" fillId="0" borderId="0" xfId="1" applyNumberFormat="1" applyFont="1" applyFill="1" applyAlignment="1">
      <alignment vertical="center"/>
    </xf>
    <xf numFmtId="0" fontId="1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64" fontId="9" fillId="0" borderId="0" xfId="1" applyNumberFormat="1" applyFont="1" applyFill="1" applyAlignment="1">
      <alignment vertical="center"/>
    </xf>
    <xf numFmtId="37" fontId="38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/>
    </xf>
    <xf numFmtId="38" fontId="21" fillId="0" borderId="13" xfId="1" applyNumberFormat="1" applyFont="1" applyFill="1" applyBorder="1" applyAlignment="1">
      <alignment horizontal="right" vertical="center" readingOrder="2"/>
    </xf>
    <xf numFmtId="164" fontId="6" fillId="0" borderId="2" xfId="0" applyNumberFormat="1" applyFont="1" applyBorder="1" applyAlignment="1">
      <alignment horizontal="center" vertical="center" readingOrder="2"/>
    </xf>
    <xf numFmtId="0" fontId="12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 readingOrder="2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64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37" fontId="34" fillId="0" borderId="0" xfId="0" quotePrefix="1" applyNumberFormat="1" applyFont="1" applyAlignment="1">
      <alignment horizontal="right" vertical="center" wrapText="1"/>
    </xf>
    <xf numFmtId="0" fontId="8" fillId="0" borderId="0" xfId="0" applyFont="1" applyAlignment="1">
      <alignment horizontal="center" vertical="center"/>
    </xf>
    <xf numFmtId="37" fontId="8" fillId="0" borderId="0" xfId="0" applyNumberFormat="1" applyFont="1" applyAlignment="1">
      <alignment horizontal="center" vertical="center"/>
    </xf>
    <xf numFmtId="10" fontId="8" fillId="0" borderId="0" xfId="2" applyNumberFormat="1" applyFont="1" applyFill="1" applyAlignment="1">
      <alignment horizontal="center" vertical="center"/>
    </xf>
    <xf numFmtId="0" fontId="5" fillId="0" borderId="0" xfId="0" applyFont="1" applyAlignment="1">
      <alignment horizontal="center" vertical="center" wrapText="1" readingOrder="2"/>
    </xf>
    <xf numFmtId="0" fontId="6" fillId="0" borderId="0" xfId="0" applyFont="1" applyAlignment="1">
      <alignment horizontal="center" vertical="center" wrapText="1" readingOrder="2"/>
    </xf>
    <xf numFmtId="10" fontId="8" fillId="0" borderId="8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64" fontId="6" fillId="0" borderId="0" xfId="1" applyNumberFormat="1" applyFont="1" applyFill="1" applyAlignment="1">
      <alignment vertical="center" wrapText="1"/>
    </xf>
    <xf numFmtId="0" fontId="16" fillId="0" borderId="0" xfId="0" applyFont="1"/>
    <xf numFmtId="0" fontId="20" fillId="0" borderId="1" xfId="0" applyFont="1" applyBorder="1"/>
    <xf numFmtId="164" fontId="20" fillId="0" borderId="1" xfId="1" applyNumberFormat="1" applyFont="1" applyFill="1" applyBorder="1"/>
    <xf numFmtId="0" fontId="18" fillId="0" borderId="0" xfId="0" applyFont="1" applyAlignment="1">
      <alignment horizontal="center" vertical="center" wrapText="1" readingOrder="2"/>
    </xf>
    <xf numFmtId="0" fontId="18" fillId="0" borderId="0" xfId="0" applyFont="1" applyAlignment="1">
      <alignment vertical="center" wrapText="1" readingOrder="2"/>
    </xf>
    <xf numFmtId="164" fontId="18" fillId="0" borderId="1" xfId="1" applyNumberFormat="1" applyFont="1" applyFill="1" applyBorder="1" applyAlignment="1">
      <alignment horizontal="center" vertical="center" wrapText="1" readingOrder="2"/>
    </xf>
    <xf numFmtId="0" fontId="20" fillId="0" borderId="0" xfId="0" applyFont="1" applyAlignment="1">
      <alignment vertical="center" wrapText="1" readingOrder="2"/>
    </xf>
    <xf numFmtId="0" fontId="20" fillId="0" borderId="0" xfId="0" applyFont="1" applyAlignment="1">
      <alignment horizontal="center"/>
    </xf>
    <xf numFmtId="0" fontId="20" fillId="0" borderId="1" xfId="0" applyFont="1" applyBorder="1" applyAlignment="1">
      <alignment vertical="center" wrapText="1" readingOrder="2"/>
    </xf>
    <xf numFmtId="37" fontId="13" fillId="0" borderId="0" xfId="0" applyNumberFormat="1" applyFont="1" applyAlignment="1">
      <alignment horizontal="right" vertical="center" wrapText="1"/>
    </xf>
    <xf numFmtId="0" fontId="13" fillId="0" borderId="0" xfId="0" applyFont="1" applyAlignment="1">
      <alignment horizontal="center" vertical="center"/>
    </xf>
    <xf numFmtId="37" fontId="13" fillId="0" borderId="0" xfId="0" applyNumberFormat="1" applyFont="1" applyAlignment="1">
      <alignment horizontal="center" vertical="center" wrapText="1"/>
    </xf>
    <xf numFmtId="164" fontId="20" fillId="0" borderId="0" xfId="1" applyNumberFormat="1" applyFont="1" applyFill="1" applyAlignment="1">
      <alignment horizontal="center" vertical="center"/>
    </xf>
    <xf numFmtId="164" fontId="20" fillId="0" borderId="0" xfId="1" applyNumberFormat="1" applyFont="1" applyFill="1" applyAlignment="1">
      <alignment vertical="center"/>
    </xf>
    <xf numFmtId="3" fontId="43" fillId="0" borderId="0" xfId="0" applyNumberFormat="1" applyFont="1"/>
    <xf numFmtId="164" fontId="20" fillId="0" borderId="0" xfId="0" applyNumberFormat="1" applyFont="1"/>
    <xf numFmtId="3" fontId="20" fillId="0" borderId="0" xfId="0" applyNumberFormat="1" applyFont="1"/>
    <xf numFmtId="164" fontId="20" fillId="0" borderId="2" xfId="1" applyNumberFormat="1" applyFont="1" applyFill="1" applyBorder="1" applyAlignment="1">
      <alignment horizontal="center" vertical="center" readingOrder="2"/>
    </xf>
    <xf numFmtId="10" fontId="13" fillId="0" borderId="8" xfId="2" applyNumberFormat="1" applyFont="1" applyFill="1" applyBorder="1" applyAlignment="1">
      <alignment horizontal="center" vertical="center"/>
    </xf>
    <xf numFmtId="164" fontId="16" fillId="0" borderId="0" xfId="1" applyNumberFormat="1" applyFont="1" applyFill="1"/>
    <xf numFmtId="164" fontId="10" fillId="0" borderId="0" xfId="1" applyNumberFormat="1" applyFont="1" applyFill="1" applyAlignment="1">
      <alignment vertical="center"/>
    </xf>
    <xf numFmtId="164" fontId="16" fillId="0" borderId="0" xfId="0" applyNumberFormat="1" applyFont="1"/>
    <xf numFmtId="164" fontId="10" fillId="0" borderId="0" xfId="1" applyNumberFormat="1" applyFont="1" applyFill="1"/>
    <xf numFmtId="164" fontId="15" fillId="0" borderId="0" xfId="1" applyNumberFormat="1" applyFont="1" applyFill="1" applyAlignment="1">
      <alignment horizontal="center"/>
    </xf>
    <xf numFmtId="164" fontId="15" fillId="0" borderId="0" xfId="1" applyNumberFormat="1" applyFont="1" applyFill="1"/>
    <xf numFmtId="0" fontId="15" fillId="0" borderId="0" xfId="0" applyFont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164" fontId="15" fillId="0" borderId="4" xfId="1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37" fontId="27" fillId="0" borderId="0" xfId="0" applyNumberFormat="1" applyFont="1" applyAlignment="1">
      <alignment horizontal="center" vertical="center"/>
    </xf>
    <xf numFmtId="164" fontId="10" fillId="0" borderId="0" xfId="0" applyNumberFormat="1" applyFont="1"/>
    <xf numFmtId="0" fontId="10" fillId="0" borderId="0" xfId="0" applyFont="1" applyAlignment="1">
      <alignment horizontal="right" vertical="center"/>
    </xf>
    <xf numFmtId="164" fontId="20" fillId="0" borderId="0" xfId="1" applyNumberFormat="1" applyFont="1" applyFill="1"/>
    <xf numFmtId="0" fontId="14" fillId="0" borderId="0" xfId="0" applyFont="1"/>
    <xf numFmtId="164" fontId="42" fillId="0" borderId="0" xfId="1" applyNumberFormat="1" applyFont="1" applyFill="1" applyAlignment="1">
      <alignment vertical="center"/>
    </xf>
    <xf numFmtId="164" fontId="14" fillId="0" borderId="0" xfId="0" applyNumberFormat="1" applyFont="1"/>
    <xf numFmtId="0" fontId="10" fillId="0" borderId="0" xfId="0" applyFont="1" applyAlignment="1">
      <alignment horizontal="center" vertical="center"/>
    </xf>
    <xf numFmtId="164" fontId="10" fillId="0" borderId="0" xfId="1" applyNumberFormat="1" applyFont="1" applyFill="1" applyAlignment="1">
      <alignment horizontal="center" vertical="center"/>
    </xf>
    <xf numFmtId="165" fontId="10" fillId="0" borderId="0" xfId="1" applyNumberFormat="1" applyFont="1" applyFill="1" applyAlignment="1">
      <alignment horizontal="center" vertical="center"/>
    </xf>
    <xf numFmtId="0" fontId="10" fillId="0" borderId="0" xfId="0" quotePrefix="1" applyFont="1" applyAlignment="1">
      <alignment horizontal="right" vertical="center"/>
    </xf>
    <xf numFmtId="0" fontId="10" fillId="0" borderId="0" xfId="0" applyFont="1" applyAlignment="1">
      <alignment vertical="center"/>
    </xf>
    <xf numFmtId="164" fontId="10" fillId="0" borderId="0" xfId="1" applyNumberFormat="1" applyFont="1" applyFill="1" applyBorder="1" applyAlignment="1">
      <alignment vertical="center" wrapText="1"/>
    </xf>
    <xf numFmtId="164" fontId="22" fillId="0" borderId="0" xfId="1" applyNumberFormat="1" applyFont="1" applyFill="1" applyBorder="1" applyAlignment="1">
      <alignment horizontal="left" vertical="center"/>
    </xf>
    <xf numFmtId="2" fontId="10" fillId="0" borderId="9" xfId="0" applyNumberFormat="1" applyFont="1" applyBorder="1" applyAlignment="1">
      <alignment vertical="center"/>
    </xf>
    <xf numFmtId="2" fontId="10" fillId="0" borderId="0" xfId="0" applyNumberFormat="1" applyFont="1" applyAlignment="1">
      <alignment vertical="center"/>
    </xf>
    <xf numFmtId="164" fontId="14" fillId="0" borderId="0" xfId="1" applyNumberFormat="1" applyFont="1" applyFill="1"/>
    <xf numFmtId="165" fontId="14" fillId="0" borderId="0" xfId="1" applyNumberFormat="1" applyFont="1" applyFill="1"/>
    <xf numFmtId="164" fontId="44" fillId="0" borderId="0" xfId="1" applyNumberFormat="1" applyFont="1" applyFill="1" applyAlignment="1">
      <alignment vertical="center"/>
    </xf>
    <xf numFmtId="164" fontId="45" fillId="0" borderId="0" xfId="1" applyNumberFormat="1" applyFont="1" applyFill="1" applyAlignment="1">
      <alignment vertical="center"/>
    </xf>
    <xf numFmtId="0" fontId="20" fillId="0" borderId="0" xfId="0" applyFont="1" applyAlignment="1">
      <alignment horizontal="center" vertical="center"/>
    </xf>
    <xf numFmtId="37" fontId="13" fillId="0" borderId="0" xfId="0" quotePrefix="1" applyNumberFormat="1" applyFont="1" applyAlignment="1">
      <alignment horizontal="right" vertical="center" wrapText="1"/>
    </xf>
    <xf numFmtId="165" fontId="22" fillId="0" borderId="0" xfId="1" applyNumberFormat="1" applyFont="1" applyFill="1" applyBorder="1" applyAlignment="1">
      <alignment vertical="center"/>
    </xf>
    <xf numFmtId="164" fontId="15" fillId="0" borderId="0" xfId="1" applyNumberFormat="1" applyFont="1" applyFill="1" applyAlignment="1">
      <alignment vertical="center"/>
    </xf>
    <xf numFmtId="0" fontId="29" fillId="0" borderId="1" xfId="0" applyFont="1" applyBorder="1" applyAlignment="1">
      <alignment horizontal="right" vertical="center" wrapText="1" readingOrder="2"/>
    </xf>
    <xf numFmtId="0" fontId="29" fillId="0" borderId="0" xfId="0" applyFont="1" applyAlignment="1">
      <alignment vertical="center" wrapText="1" readingOrder="2"/>
    </xf>
    <xf numFmtId="0" fontId="29" fillId="0" borderId="1" xfId="0" applyFont="1" applyBorder="1" applyAlignment="1">
      <alignment vertical="center" wrapText="1" readingOrder="2"/>
    </xf>
    <xf numFmtId="0" fontId="30" fillId="0" borderId="0" xfId="0" applyFont="1" applyAlignment="1">
      <alignment horizontal="center" vertical="center" wrapText="1" readingOrder="2"/>
    </xf>
    <xf numFmtId="0" fontId="31" fillId="0" borderId="0" xfId="0" applyFont="1" applyAlignment="1">
      <alignment horizontal="right" vertical="center" wrapText="1" readingOrder="2"/>
    </xf>
    <xf numFmtId="0" fontId="10" fillId="0" borderId="0" xfId="0" applyFont="1" applyAlignment="1">
      <alignment vertical="center" wrapText="1"/>
    </xf>
    <xf numFmtId="164" fontId="18" fillId="0" borderId="8" xfId="1" applyNumberFormat="1" applyFont="1" applyFill="1" applyBorder="1" applyAlignment="1">
      <alignment vertical="center"/>
    </xf>
    <xf numFmtId="164" fontId="31" fillId="0" borderId="0" xfId="1" applyNumberFormat="1" applyFont="1" applyFill="1" applyBorder="1" applyAlignment="1">
      <alignment vertical="center" wrapText="1" readingOrder="2"/>
    </xf>
    <xf numFmtId="3" fontId="10" fillId="0" borderId="0" xfId="0" applyNumberFormat="1" applyFont="1"/>
    <xf numFmtId="0" fontId="23" fillId="0" borderId="0" xfId="0" applyFont="1" applyAlignment="1">
      <alignment vertical="center" wrapText="1" readingOrder="2"/>
    </xf>
    <xf numFmtId="0" fontId="29" fillId="0" borderId="14" xfId="0" applyFont="1" applyBorder="1" applyAlignment="1">
      <alignment horizontal="center" vertical="center" wrapText="1" readingOrder="2"/>
    </xf>
    <xf numFmtId="164" fontId="29" fillId="0" borderId="14" xfId="1" applyNumberFormat="1" applyFont="1" applyFill="1" applyBorder="1" applyAlignment="1">
      <alignment horizontal="center" vertical="center" wrapText="1" readingOrder="2"/>
    </xf>
    <xf numFmtId="164" fontId="20" fillId="0" borderId="0" xfId="1" applyNumberFormat="1" applyFont="1" applyFill="1" applyAlignment="1">
      <alignment vertical="center" wrapText="1"/>
    </xf>
    <xf numFmtId="164" fontId="20" fillId="0" borderId="3" xfId="1" applyNumberFormat="1" applyFont="1" applyFill="1" applyBorder="1" applyAlignment="1">
      <alignment vertical="center" wrapText="1"/>
    </xf>
    <xf numFmtId="37" fontId="32" fillId="0" borderId="0" xfId="0" applyNumberFormat="1" applyFont="1" applyAlignment="1">
      <alignment horizontal="center" vertical="center" wrapText="1"/>
    </xf>
    <xf numFmtId="10" fontId="13" fillId="0" borderId="0" xfId="0" applyNumberFormat="1" applyFont="1" applyAlignment="1">
      <alignment horizontal="center" vertical="center"/>
    </xf>
    <xf numFmtId="0" fontId="31" fillId="0" borderId="0" xfId="0" applyFont="1" applyAlignment="1">
      <alignment horizontal="center" vertical="center" wrapText="1" readingOrder="2"/>
    </xf>
    <xf numFmtId="10" fontId="39" fillId="0" borderId="2" xfId="2" applyNumberFormat="1" applyFont="1" applyFill="1" applyBorder="1" applyAlignment="1">
      <alignment horizontal="center" vertical="center" wrapText="1" readingOrder="2"/>
    </xf>
    <xf numFmtId="37" fontId="13" fillId="0" borderId="0" xfId="0" quotePrefix="1" applyNumberFormat="1" applyFont="1" applyAlignment="1">
      <alignment horizontal="center" vertical="center" wrapText="1"/>
    </xf>
    <xf numFmtId="0" fontId="30" fillId="0" borderId="0" xfId="0" applyFont="1" applyAlignment="1">
      <alignment horizontal="right" vertical="center" wrapText="1" readingOrder="2"/>
    </xf>
    <xf numFmtId="0" fontId="10" fillId="0" borderId="0" xfId="1" applyNumberFormat="1" applyFont="1" applyFill="1" applyAlignment="1">
      <alignment horizontal="center" vertical="center"/>
    </xf>
    <xf numFmtId="165" fontId="10" fillId="0" borderId="1" xfId="1" applyNumberFormat="1" applyFont="1" applyFill="1" applyBorder="1" applyAlignment="1">
      <alignment horizontal="center" vertical="center" wrapText="1"/>
    </xf>
    <xf numFmtId="165" fontId="10" fillId="0" borderId="1" xfId="1" applyNumberFormat="1" applyFont="1" applyFill="1" applyBorder="1" applyAlignment="1">
      <alignment horizontal="center" vertical="center"/>
    </xf>
    <xf numFmtId="164" fontId="47" fillId="0" borderId="0" xfId="0" applyNumberFormat="1" applyFont="1"/>
    <xf numFmtId="0" fontId="5" fillId="0" borderId="0" xfId="0" applyFont="1" applyAlignment="1">
      <alignment vertical="center" wrapText="1" readingOrder="2"/>
    </xf>
    <xf numFmtId="164" fontId="5" fillId="0" borderId="0" xfId="1" applyNumberFormat="1" applyFont="1" applyFill="1" applyBorder="1" applyAlignment="1">
      <alignment vertical="center" wrapText="1" readingOrder="2"/>
    </xf>
    <xf numFmtId="0" fontId="6" fillId="0" borderId="0" xfId="0" applyFont="1" applyAlignment="1">
      <alignment vertical="center" wrapText="1" readingOrder="2"/>
    </xf>
    <xf numFmtId="164" fontId="6" fillId="0" borderId="0" xfId="1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readingOrder="2"/>
    </xf>
    <xf numFmtId="37" fontId="8" fillId="0" borderId="0" xfId="0" quotePrefix="1" applyNumberFormat="1" applyFont="1" applyAlignment="1">
      <alignment horizontal="right" vertical="center" wrapText="1"/>
    </xf>
    <xf numFmtId="10" fontId="6" fillId="0" borderId="0" xfId="2" applyNumberFormat="1" applyFont="1" applyFill="1" applyAlignment="1">
      <alignment horizontal="center" vertical="center"/>
    </xf>
    <xf numFmtId="37" fontId="28" fillId="0" borderId="11" xfId="0" applyNumberFormat="1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37" fontId="13" fillId="0" borderId="0" xfId="0" applyNumberFormat="1" applyFont="1" applyAlignment="1">
      <alignment horizontal="center" vertical="center"/>
    </xf>
    <xf numFmtId="164" fontId="20" fillId="0" borderId="0" xfId="1" applyNumberFormat="1" applyFont="1" applyFill="1" applyAlignment="1">
      <alignment horizontal="center" vertical="center" wrapText="1" shrinkToFit="1"/>
    </xf>
    <xf numFmtId="0" fontId="10" fillId="0" borderId="1" xfId="0" applyFont="1" applyBorder="1" applyAlignment="1">
      <alignment horizontal="center" vertical="center"/>
    </xf>
    <xf numFmtId="164" fontId="10" fillId="0" borderId="1" xfId="1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64" fontId="18" fillId="0" borderId="0" xfId="1" applyNumberFormat="1" applyFont="1" applyFill="1" applyAlignment="1">
      <alignment vertical="center" readingOrder="2"/>
    </xf>
    <xf numFmtId="164" fontId="48" fillId="0" borderId="0" xfId="1" applyNumberFormat="1" applyFont="1" applyFill="1" applyAlignment="1">
      <alignment vertical="center"/>
    </xf>
    <xf numFmtId="164" fontId="38" fillId="0" borderId="0" xfId="1" applyNumberFormat="1" applyFont="1" applyFill="1" applyAlignment="1">
      <alignment vertical="center"/>
    </xf>
    <xf numFmtId="0" fontId="26" fillId="0" borderId="0" xfId="0" applyFont="1" applyAlignment="1">
      <alignment vertical="center" readingOrder="2"/>
    </xf>
    <xf numFmtId="165" fontId="26" fillId="0" borderId="0" xfId="1" applyNumberFormat="1" applyFont="1" applyFill="1" applyAlignment="1">
      <alignment vertical="center" readingOrder="2"/>
    </xf>
    <xf numFmtId="165" fontId="49" fillId="0" borderId="0" xfId="1" applyNumberFormat="1" applyFont="1" applyFill="1" applyBorder="1" applyAlignment="1">
      <alignment vertical="center"/>
    </xf>
    <xf numFmtId="164" fontId="10" fillId="0" borderId="1" xfId="1" applyNumberFormat="1" applyFont="1" applyFill="1" applyBorder="1" applyAlignment="1">
      <alignment horizontal="center" vertical="center"/>
    </xf>
    <xf numFmtId="164" fontId="18" fillId="0" borderId="0" xfId="1" applyNumberFormat="1" applyFont="1" applyFill="1" applyAlignment="1">
      <alignment horizontal="center" readingOrder="2"/>
    </xf>
    <xf numFmtId="0" fontId="19" fillId="0" borderId="0" xfId="0" applyFont="1" applyAlignment="1">
      <alignment vertical="center" readingOrder="2"/>
    </xf>
    <xf numFmtId="40" fontId="18" fillId="0" borderId="0" xfId="0" applyNumberFormat="1" applyFont="1" applyAlignment="1">
      <alignment horizontal="center" vertical="center" wrapText="1" readingOrder="2"/>
    </xf>
    <xf numFmtId="0" fontId="18" fillId="0" borderId="0" xfId="0" applyFont="1" applyAlignment="1">
      <alignment horizontal="center" vertical="center" readingOrder="2"/>
    </xf>
    <xf numFmtId="164" fontId="18" fillId="0" borderId="10" xfId="1" applyNumberFormat="1" applyFont="1" applyFill="1" applyBorder="1" applyAlignment="1">
      <alignment vertical="center" readingOrder="2"/>
    </xf>
    <xf numFmtId="164" fontId="20" fillId="0" borderId="0" xfId="1" applyNumberFormat="1" applyFont="1" applyFill="1" applyBorder="1" applyAlignment="1">
      <alignment vertical="center"/>
    </xf>
    <xf numFmtId="164" fontId="20" fillId="0" borderId="0" xfId="1" applyNumberFormat="1" applyFont="1" applyFill="1" applyBorder="1" applyAlignment="1">
      <alignment horizontal="center" vertical="center" wrapText="1" shrinkToFit="1"/>
    </xf>
    <xf numFmtId="164" fontId="6" fillId="0" borderId="0" xfId="1" applyNumberFormat="1" applyFont="1" applyFill="1" applyBorder="1" applyAlignment="1">
      <alignment vertical="center"/>
    </xf>
    <xf numFmtId="164" fontId="10" fillId="0" borderId="0" xfId="1" applyNumberFormat="1" applyFont="1" applyFill="1" applyAlignment="1">
      <alignment horizontal="right" vertical="center"/>
    </xf>
    <xf numFmtId="164" fontId="10" fillId="0" borderId="0" xfId="0" applyNumberFormat="1" applyFont="1" applyAlignment="1">
      <alignment vertical="center"/>
    </xf>
    <xf numFmtId="164" fontId="9" fillId="0" borderId="0" xfId="1" applyNumberFormat="1" applyFont="1" applyFill="1" applyBorder="1" applyAlignment="1">
      <alignment vertical="center"/>
    </xf>
    <xf numFmtId="164" fontId="6" fillId="0" borderId="2" xfId="1" applyNumberFormat="1" applyFont="1" applyFill="1" applyBorder="1" applyAlignment="1">
      <alignment horizontal="center" vertical="center"/>
    </xf>
    <xf numFmtId="164" fontId="6" fillId="0" borderId="2" xfId="1" applyNumberFormat="1" applyFont="1" applyFill="1" applyBorder="1" applyAlignment="1">
      <alignment vertical="center"/>
    </xf>
    <xf numFmtId="164" fontId="6" fillId="0" borderId="0" xfId="1" applyNumberFormat="1" applyFont="1" applyFill="1" applyBorder="1" applyAlignment="1">
      <alignment vertical="center" readingOrder="2"/>
    </xf>
    <xf numFmtId="37" fontId="13" fillId="0" borderId="9" xfId="0" quotePrefix="1" applyNumberFormat="1" applyFont="1" applyBorder="1" applyAlignment="1">
      <alignment horizontal="right" vertical="center" wrapText="1"/>
    </xf>
    <xf numFmtId="164" fontId="20" fillId="0" borderId="8" xfId="1" applyNumberFormat="1" applyFont="1" applyFill="1" applyBorder="1" applyAlignment="1">
      <alignment vertical="center"/>
    </xf>
    <xf numFmtId="164" fontId="20" fillId="0" borderId="0" xfId="1" applyNumberFormat="1" applyFont="1" applyFill="1" applyBorder="1" applyAlignment="1">
      <alignment horizontal="center" vertical="center"/>
    </xf>
    <xf numFmtId="37" fontId="13" fillId="0" borderId="0" xfId="0" applyNumberFormat="1" applyFont="1" applyAlignment="1">
      <alignment vertical="center"/>
    </xf>
    <xf numFmtId="164" fontId="10" fillId="0" borderId="8" xfId="1" applyNumberFormat="1" applyFont="1" applyFill="1" applyBorder="1" applyAlignment="1">
      <alignment vertical="center" wrapText="1"/>
    </xf>
    <xf numFmtId="0" fontId="15" fillId="0" borderId="0" xfId="0" applyFont="1" applyAlignment="1">
      <alignment horizontal="right" vertical="center" wrapText="1"/>
    </xf>
    <xf numFmtId="164" fontId="25" fillId="0" borderId="0" xfId="1" applyNumberFormat="1" applyFont="1" applyFill="1" applyBorder="1" applyAlignment="1">
      <alignment horizontal="center" vertical="center" readingOrder="2"/>
    </xf>
    <xf numFmtId="165" fontId="24" fillId="0" borderId="0" xfId="0" applyNumberFormat="1" applyFont="1" applyAlignment="1">
      <alignment horizontal="center" vertical="center" wrapText="1" readingOrder="2"/>
    </xf>
    <xf numFmtId="164" fontId="51" fillId="0" borderId="0" xfId="1" applyNumberFormat="1" applyFont="1" applyFill="1" applyAlignment="1">
      <alignment vertical="center"/>
    </xf>
    <xf numFmtId="10" fontId="20" fillId="0" borderId="0" xfId="2" applyNumberFormat="1" applyFont="1" applyFill="1" applyBorder="1" applyAlignment="1">
      <alignment horizontal="center" vertical="center" wrapText="1"/>
    </xf>
    <xf numFmtId="164" fontId="20" fillId="0" borderId="0" xfId="1" applyNumberFormat="1" applyFont="1" applyFill="1" applyBorder="1"/>
    <xf numFmtId="164" fontId="5" fillId="0" borderId="0" xfId="1" applyNumberFormat="1" applyFont="1" applyFill="1" applyAlignment="1">
      <alignment horizontal="center" vertical="center" wrapText="1"/>
    </xf>
    <xf numFmtId="164" fontId="52" fillId="0" borderId="0" xfId="1" applyNumberFormat="1" applyFont="1" applyFill="1" applyAlignment="1">
      <alignment vertical="center"/>
    </xf>
    <xf numFmtId="10" fontId="6" fillId="0" borderId="2" xfId="0" applyNumberFormat="1" applyFont="1" applyBorder="1" applyAlignment="1">
      <alignment horizontal="center" vertical="center"/>
    </xf>
    <xf numFmtId="164" fontId="15" fillId="0" borderId="0" xfId="0" applyNumberFormat="1" applyFont="1" applyAlignment="1">
      <alignment horizontal="center" vertical="center"/>
    </xf>
    <xf numFmtId="164" fontId="15" fillId="0" borderId="0" xfId="1" applyNumberFormat="1" applyFont="1" applyFill="1" applyBorder="1" applyAlignment="1">
      <alignment vertical="center"/>
    </xf>
    <xf numFmtId="0" fontId="15" fillId="0" borderId="0" xfId="0" applyFont="1" applyAlignment="1">
      <alignment vertical="center"/>
    </xf>
    <xf numFmtId="37" fontId="9" fillId="0" borderId="0" xfId="0" applyNumberFormat="1" applyFont="1" applyAlignment="1">
      <alignment horizontal="center" vertical="center"/>
    </xf>
    <xf numFmtId="3" fontId="51" fillId="0" borderId="0" xfId="0" applyNumberFormat="1" applyFont="1"/>
    <xf numFmtId="164" fontId="42" fillId="0" borderId="0" xfId="1" applyNumberFormat="1" applyFont="1" applyFill="1"/>
    <xf numFmtId="165" fontId="50" fillId="0" borderId="0" xfId="1" applyNumberFormat="1" applyFont="1" applyFill="1"/>
    <xf numFmtId="164" fontId="51" fillId="0" borderId="0" xfId="1" applyNumberFormat="1" applyFont="1" applyFill="1"/>
    <xf numFmtId="164" fontId="52" fillId="0" borderId="0" xfId="1" applyNumberFormat="1" applyFont="1" applyFill="1" applyAlignment="1">
      <alignment vertical="center" wrapText="1"/>
    </xf>
    <xf numFmtId="164" fontId="50" fillId="0" borderId="0" xfId="1" applyNumberFormat="1" applyFont="1" applyFill="1"/>
    <xf numFmtId="164" fontId="6" fillId="0" borderId="0" xfId="0" applyNumberFormat="1" applyFont="1" applyAlignment="1">
      <alignment vertical="center"/>
    </xf>
    <xf numFmtId="164" fontId="6" fillId="0" borderId="0" xfId="2" applyNumberFormat="1" applyFont="1" applyFill="1" applyAlignment="1">
      <alignment horizontal="center" vertical="center"/>
    </xf>
    <xf numFmtId="10" fontId="18" fillId="0" borderId="0" xfId="2" applyNumberFormat="1" applyFont="1" applyFill="1" applyAlignment="1">
      <alignment horizontal="center" vertical="center" wrapText="1" readingOrder="2"/>
    </xf>
    <xf numFmtId="9" fontId="18" fillId="0" borderId="3" xfId="2" applyFont="1" applyFill="1" applyBorder="1" applyAlignment="1">
      <alignment horizontal="center" vertical="center" readingOrder="2"/>
    </xf>
    <xf numFmtId="165" fontId="55" fillId="0" borderId="0" xfId="1" applyNumberFormat="1" applyFont="1" applyFill="1"/>
    <xf numFmtId="164" fontId="56" fillId="0" borderId="0" xfId="1" applyNumberFormat="1" applyFont="1" applyFill="1" applyAlignment="1">
      <alignment vertical="center"/>
    </xf>
    <xf numFmtId="164" fontId="14" fillId="0" borderId="0" xfId="1" applyNumberFormat="1" applyFont="1" applyFill="1" applyAlignment="1">
      <alignment horizontal="center"/>
    </xf>
    <xf numFmtId="0" fontId="14" fillId="0" borderId="0" xfId="0" applyFont="1" applyAlignment="1">
      <alignment horizontal="center"/>
    </xf>
    <xf numFmtId="164" fontId="10" fillId="0" borderId="0" xfId="1" applyNumberFormat="1" applyFont="1" applyFill="1" applyAlignment="1">
      <alignment horizontal="center"/>
    </xf>
    <xf numFmtId="37" fontId="6" fillId="0" borderId="0" xfId="0" applyNumberFormat="1" applyFont="1" applyAlignment="1">
      <alignment vertical="center"/>
    </xf>
    <xf numFmtId="164" fontId="6" fillId="0" borderId="0" xfId="1" applyNumberFormat="1" applyFont="1" applyFill="1" applyAlignment="1">
      <alignment horizontal="left" vertical="center"/>
    </xf>
    <xf numFmtId="165" fontId="15" fillId="0" borderId="0" xfId="1" applyNumberFormat="1" applyFont="1" applyFill="1" applyAlignment="1">
      <alignment vertical="center"/>
    </xf>
    <xf numFmtId="165" fontId="15" fillId="0" borderId="0" xfId="0" applyNumberFormat="1" applyFont="1" applyAlignment="1">
      <alignment vertical="center"/>
    </xf>
    <xf numFmtId="0" fontId="15" fillId="0" borderId="0" xfId="0" applyFont="1" applyAlignment="1">
      <alignment horizontal="right" vertical="center"/>
    </xf>
    <xf numFmtId="0" fontId="15" fillId="0" borderId="1" xfId="0" applyFont="1" applyBorder="1" applyAlignment="1">
      <alignment vertical="center"/>
    </xf>
    <xf numFmtId="0" fontId="24" fillId="0" borderId="0" xfId="0" applyFont="1" applyAlignment="1">
      <alignment vertical="center" wrapText="1" readingOrder="2"/>
    </xf>
    <xf numFmtId="164" fontId="25" fillId="0" borderId="1" xfId="1" applyNumberFormat="1" applyFont="1" applyFill="1" applyBorder="1" applyAlignment="1">
      <alignment horizontal="center" vertical="center" wrapText="1" readingOrder="2"/>
    </xf>
    <xf numFmtId="165" fontId="25" fillId="0" borderId="1" xfId="1" applyNumberFormat="1" applyFont="1" applyFill="1" applyBorder="1" applyAlignment="1">
      <alignment horizontal="center" vertical="center" wrapText="1" readingOrder="2"/>
    </xf>
    <xf numFmtId="165" fontId="24" fillId="0" borderId="4" xfId="0" applyNumberFormat="1" applyFont="1" applyBorder="1" applyAlignment="1">
      <alignment horizontal="center" vertical="center" wrapText="1" readingOrder="2"/>
    </xf>
    <xf numFmtId="0" fontId="24" fillId="0" borderId="4" xfId="0" applyFont="1" applyBorder="1" applyAlignment="1">
      <alignment horizontal="center" vertical="center" wrapText="1" readingOrder="2"/>
    </xf>
    <xf numFmtId="165" fontId="24" fillId="0" borderId="4" xfId="1" applyNumberFormat="1" applyFont="1" applyFill="1" applyBorder="1" applyAlignment="1">
      <alignment horizontal="center" vertical="center" wrapText="1" readingOrder="2"/>
    </xf>
    <xf numFmtId="164" fontId="25" fillId="0" borderId="8" xfId="1" applyNumberFormat="1" applyFont="1" applyFill="1" applyBorder="1" applyAlignment="1">
      <alignment horizontal="center" vertical="center" readingOrder="2"/>
    </xf>
    <xf numFmtId="164" fontId="16" fillId="0" borderId="0" xfId="1" applyNumberFormat="1" applyFont="1" applyFill="1" applyAlignment="1">
      <alignment vertical="center"/>
    </xf>
    <xf numFmtId="165" fontId="16" fillId="0" borderId="0" xfId="1" applyNumberFormat="1" applyFont="1" applyFill="1" applyAlignment="1">
      <alignment vertical="center"/>
    </xf>
    <xf numFmtId="165" fontId="16" fillId="0" borderId="0" xfId="0" applyNumberFormat="1" applyFont="1" applyAlignment="1">
      <alignment vertical="center"/>
    </xf>
    <xf numFmtId="0" fontId="16" fillId="0" borderId="0" xfId="0" applyFont="1" applyAlignment="1">
      <alignment horizontal="right" vertical="center"/>
    </xf>
    <xf numFmtId="164" fontId="41" fillId="0" borderId="0" xfId="1" applyNumberFormat="1" applyFont="1" applyFill="1" applyAlignment="1">
      <alignment vertical="center"/>
    </xf>
    <xf numFmtId="165" fontId="53" fillId="0" borderId="0" xfId="1" applyNumberFormat="1" applyFont="1" applyFill="1" applyAlignment="1">
      <alignment vertical="center"/>
    </xf>
    <xf numFmtId="165" fontId="54" fillId="0" borderId="0" xfId="1" applyNumberFormat="1" applyFont="1" applyFill="1" applyAlignment="1">
      <alignment vertical="center"/>
    </xf>
    <xf numFmtId="164" fontId="10" fillId="0" borderId="8" xfId="1" applyNumberFormat="1" applyFont="1" applyFill="1" applyBorder="1" applyAlignment="1">
      <alignment vertical="center"/>
    </xf>
    <xf numFmtId="164" fontId="25" fillId="0" borderId="8" xfId="1" applyNumberFormat="1" applyFont="1" applyFill="1" applyBorder="1" applyAlignment="1">
      <alignment horizontal="right" vertical="center" wrapText="1" readingOrder="2"/>
    </xf>
    <xf numFmtId="164" fontId="49" fillId="0" borderId="8" xfId="1" applyNumberFormat="1" applyFont="1" applyFill="1" applyBorder="1" applyAlignment="1">
      <alignment vertical="center"/>
    </xf>
    <xf numFmtId="164" fontId="22" fillId="0" borderId="8" xfId="1" applyNumberFormat="1" applyFont="1" applyFill="1" applyBorder="1" applyAlignment="1">
      <alignment vertical="center"/>
    </xf>
    <xf numFmtId="37" fontId="28" fillId="0" borderId="0" xfId="0" applyNumberFormat="1" applyFont="1" applyAlignment="1">
      <alignment horizontal="center" vertical="center" wrapText="1"/>
    </xf>
    <xf numFmtId="10" fontId="8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vertical="center"/>
    </xf>
    <xf numFmtId="3" fontId="14" fillId="0" borderId="0" xfId="0" applyNumberFormat="1" applyFont="1"/>
    <xf numFmtId="166" fontId="8" fillId="0" borderId="0" xfId="0" quotePrefix="1" applyNumberFormat="1" applyFont="1" applyAlignment="1">
      <alignment horizontal="right" vertical="center" wrapText="1"/>
    </xf>
    <xf numFmtId="164" fontId="6" fillId="0" borderId="0" xfId="1" applyNumberFormat="1" applyFont="1" applyFill="1" applyAlignment="1">
      <alignment horizontal="center" vertical="center"/>
    </xf>
    <xf numFmtId="164" fontId="6" fillId="0" borderId="0" xfId="1" applyNumberFormat="1" applyFont="1" applyFill="1" applyBorder="1" applyAlignment="1">
      <alignment horizontal="center" vertical="center" wrapText="1" readingOrder="2"/>
    </xf>
    <xf numFmtId="164" fontId="6" fillId="0" borderId="0" xfId="1" applyNumberFormat="1" applyFont="1" applyFill="1" applyBorder="1" applyAlignment="1">
      <alignment horizontal="center" vertical="center" readingOrder="2"/>
    </xf>
    <xf numFmtId="164" fontId="6" fillId="0" borderId="1" xfId="1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 wrapText="1" readingOrder="2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right" vertical="center" readingOrder="2"/>
    </xf>
    <xf numFmtId="0" fontId="20" fillId="0" borderId="0" xfId="0" applyFont="1" applyAlignment="1">
      <alignment horizontal="center" vertical="center" wrapText="1" readingOrder="2"/>
    </xf>
    <xf numFmtId="164" fontId="20" fillId="0" borderId="0" xfId="1" applyNumberFormat="1" applyFont="1" applyFill="1" applyBorder="1" applyAlignment="1">
      <alignment horizontal="center" vertical="center" readingOrder="2"/>
    </xf>
    <xf numFmtId="0" fontId="20" fillId="0" borderId="1" xfId="0" applyFont="1" applyBorder="1" applyAlignment="1">
      <alignment horizontal="center" vertical="center"/>
    </xf>
    <xf numFmtId="37" fontId="28" fillId="0" borderId="11" xfId="0" applyNumberFormat="1" applyFont="1" applyBorder="1" applyAlignment="1">
      <alignment horizontal="center" vertical="center"/>
    </xf>
    <xf numFmtId="0" fontId="22" fillId="0" borderId="0" xfId="0" applyFont="1" applyAlignment="1">
      <alignment horizontal="center"/>
    </xf>
    <xf numFmtId="165" fontId="24" fillId="0" borderId="0" xfId="1" applyNumberFormat="1" applyFont="1" applyFill="1" applyBorder="1" applyAlignment="1">
      <alignment horizontal="center" vertical="center" wrapText="1" readingOrder="2"/>
    </xf>
    <xf numFmtId="164" fontId="15" fillId="0" borderId="0" xfId="1" applyNumberFormat="1" applyFont="1" applyFill="1" applyAlignment="1">
      <alignment horizontal="center" vertical="center" wrapText="1"/>
    </xf>
    <xf numFmtId="165" fontId="15" fillId="0" borderId="0" xfId="1" applyNumberFormat="1" applyFont="1" applyFill="1" applyAlignment="1">
      <alignment horizontal="center" vertical="center" wrapText="1"/>
    </xf>
    <xf numFmtId="165" fontId="15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 readingOrder="2"/>
    </xf>
    <xf numFmtId="0" fontId="29" fillId="0" borderId="0" xfId="0" applyFont="1" applyAlignment="1">
      <alignment horizontal="center" vertical="center" wrapText="1" readingOrder="2"/>
    </xf>
    <xf numFmtId="0" fontId="20" fillId="0" borderId="0" xfId="0" applyFont="1" applyAlignment="1">
      <alignment vertical="center" wrapText="1"/>
    </xf>
    <xf numFmtId="3" fontId="52" fillId="0" borderId="0" xfId="1" applyNumberFormat="1" applyFont="1" applyFill="1" applyAlignment="1">
      <alignment horizontal="center" vertical="center"/>
    </xf>
    <xf numFmtId="3" fontId="52" fillId="0" borderId="0" xfId="1" applyNumberFormat="1" applyFont="1" applyFill="1" applyAlignment="1">
      <alignment horizontal="right" vertical="center"/>
    </xf>
    <xf numFmtId="167" fontId="6" fillId="0" borderId="0" xfId="0" applyNumberFormat="1" applyFont="1" applyAlignment="1">
      <alignment vertical="center"/>
    </xf>
    <xf numFmtId="0" fontId="35" fillId="0" borderId="0" xfId="0" applyFont="1" applyAlignment="1">
      <alignment horizontal="center"/>
    </xf>
    <xf numFmtId="3" fontId="35" fillId="0" borderId="0" xfId="0" applyNumberFormat="1" applyFont="1" applyAlignment="1">
      <alignment horizontal="center"/>
    </xf>
    <xf numFmtId="0" fontId="37" fillId="0" borderId="0" xfId="0" applyFont="1" applyAlignment="1">
      <alignment horizontal="right" vertical="center" readingOrder="2"/>
    </xf>
    <xf numFmtId="164" fontId="20" fillId="0" borderId="1" xfId="1" applyNumberFormat="1" applyFont="1" applyFill="1" applyBorder="1" applyAlignment="1">
      <alignment horizontal="center"/>
    </xf>
    <xf numFmtId="164" fontId="46" fillId="0" borderId="0" xfId="0" applyNumberFormat="1" applyFont="1" applyAlignment="1">
      <alignment vertical="center" wrapText="1"/>
    </xf>
    <xf numFmtId="0" fontId="18" fillId="0" borderId="0" xfId="0" applyFont="1" applyAlignment="1">
      <alignment horizontal="right" vertical="center" readingOrder="2"/>
    </xf>
    <xf numFmtId="49" fontId="20" fillId="0" borderId="0" xfId="0" applyNumberFormat="1" applyFont="1" applyAlignment="1">
      <alignment horizontal="center" vertical="center" readingOrder="2"/>
    </xf>
    <xf numFmtId="164" fontId="18" fillId="0" borderId="1" xfId="1" applyNumberFormat="1" applyFont="1" applyFill="1" applyBorder="1" applyAlignment="1">
      <alignment vertical="center" readingOrder="2"/>
    </xf>
    <xf numFmtId="0" fontId="20" fillId="0" borderId="0" xfId="0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164" fontId="14" fillId="0" borderId="0" xfId="1" applyNumberFormat="1" applyFont="1" applyFill="1" applyAlignment="1"/>
    <xf numFmtId="164" fontId="50" fillId="0" borderId="0" xfId="1" applyNumberFormat="1" applyFont="1" applyFill="1" applyAlignment="1"/>
    <xf numFmtId="164" fontId="35" fillId="0" borderId="0" xfId="0" applyNumberFormat="1" applyFont="1" applyAlignment="1">
      <alignment vertical="center" wrapText="1"/>
    </xf>
    <xf numFmtId="0" fontId="36" fillId="0" borderId="0" xfId="0" applyFont="1"/>
    <xf numFmtId="164" fontId="12" fillId="0" borderId="8" xfId="1" applyNumberFormat="1" applyFont="1" applyFill="1" applyBorder="1" applyAlignment="1">
      <alignment vertical="center"/>
    </xf>
    <xf numFmtId="165" fontId="24" fillId="0" borderId="8" xfId="0" applyNumberFormat="1" applyFont="1" applyBorder="1" applyAlignment="1">
      <alignment horizontal="center" vertical="center" wrapText="1" readingOrder="2"/>
    </xf>
    <xf numFmtId="0" fontId="33" fillId="0" borderId="0" xfId="0" applyFont="1" applyAlignment="1">
      <alignment vertical="center"/>
    </xf>
    <xf numFmtId="37" fontId="51" fillId="0" borderId="0" xfId="0" quotePrefix="1" applyNumberFormat="1" applyFont="1" applyAlignment="1">
      <alignment horizontal="right" vertical="center" wrapText="1"/>
    </xf>
    <xf numFmtId="1" fontId="13" fillId="0" borderId="0" xfId="0" applyNumberFormat="1" applyFont="1" applyAlignment="1">
      <alignment horizontal="center" vertical="center"/>
    </xf>
    <xf numFmtId="4" fontId="20" fillId="0" borderId="0" xfId="0" applyNumberFormat="1" applyFont="1" applyAlignment="1">
      <alignment horizontal="center" vertical="center" wrapText="1"/>
    </xf>
    <xf numFmtId="165" fontId="41" fillId="0" borderId="0" xfId="1" applyNumberFormat="1" applyFont="1" applyFill="1" applyAlignment="1">
      <alignment vertical="center"/>
    </xf>
    <xf numFmtId="3" fontId="8" fillId="0" borderId="0" xfId="1" applyNumberFormat="1" applyFont="1" applyFill="1" applyAlignment="1">
      <alignment horizontal="center" vertical="center"/>
    </xf>
    <xf numFmtId="164" fontId="52" fillId="0" borderId="0" xfId="1" applyNumberFormat="1" applyFont="1" applyFill="1" applyAlignment="1">
      <alignment horizontal="center" vertical="center"/>
    </xf>
    <xf numFmtId="37" fontId="51" fillId="0" borderId="0" xfId="0" applyNumberFormat="1" applyFont="1" applyAlignment="1">
      <alignment horizontal="center" vertical="center"/>
    </xf>
    <xf numFmtId="3" fontId="50" fillId="0" borderId="0" xfId="0" applyNumberFormat="1" applyFont="1"/>
    <xf numFmtId="164" fontId="10" fillId="2" borderId="0" xfId="1" applyNumberFormat="1" applyFont="1" applyFill="1" applyAlignment="1">
      <alignment vertical="center"/>
    </xf>
    <xf numFmtId="10" fontId="18" fillId="0" borderId="3" xfId="2" applyNumberFormat="1" applyFont="1" applyFill="1" applyBorder="1" applyAlignment="1">
      <alignment horizontal="center" vertical="center" readingOrder="2"/>
    </xf>
    <xf numFmtId="164" fontId="6" fillId="0" borderId="0" xfId="1" applyNumberFormat="1" applyFont="1" applyFill="1" applyAlignment="1">
      <alignment horizontal="right" vertical="center"/>
    </xf>
    <xf numFmtId="0" fontId="3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 readingOrder="2"/>
    </xf>
    <xf numFmtId="0" fontId="6" fillId="0" borderId="1" xfId="0" applyFont="1" applyBorder="1" applyAlignment="1">
      <alignment horizontal="center" vertical="center" wrapText="1" readingOrder="2"/>
    </xf>
    <xf numFmtId="164" fontId="6" fillId="0" borderId="0" xfId="1" applyNumberFormat="1" applyFont="1" applyFill="1" applyAlignment="1">
      <alignment horizontal="center" vertical="center"/>
    </xf>
    <xf numFmtId="164" fontId="6" fillId="0" borderId="0" xfId="1" applyNumberFormat="1" applyFont="1" applyFill="1" applyBorder="1" applyAlignment="1">
      <alignment horizontal="center" vertical="center" wrapText="1" readingOrder="2"/>
    </xf>
    <xf numFmtId="164" fontId="6" fillId="0" borderId="3" xfId="1" applyNumberFormat="1" applyFont="1" applyFill="1" applyBorder="1" applyAlignment="1">
      <alignment horizontal="center" vertical="center" readingOrder="2"/>
    </xf>
    <xf numFmtId="164" fontId="6" fillId="0" borderId="1" xfId="1" applyNumberFormat="1" applyFont="1" applyFill="1" applyBorder="1" applyAlignment="1">
      <alignment horizontal="center" vertical="center" readingOrder="2"/>
    </xf>
    <xf numFmtId="164" fontId="6" fillId="0" borderId="0" xfId="1" applyNumberFormat="1" applyFont="1" applyFill="1" applyBorder="1" applyAlignment="1">
      <alignment horizontal="center" vertical="center" readingOrder="2"/>
    </xf>
    <xf numFmtId="164" fontId="6" fillId="0" borderId="0" xfId="1" applyNumberFormat="1" applyFont="1" applyFill="1" applyAlignment="1">
      <alignment horizontal="center" vertical="center" wrapText="1" readingOrder="2"/>
    </xf>
    <xf numFmtId="0" fontId="7" fillId="0" borderId="0" xfId="0" applyFont="1" applyAlignment="1">
      <alignment horizontal="right" vertical="center" readingOrder="2"/>
    </xf>
    <xf numFmtId="164" fontId="6" fillId="0" borderId="1" xfId="1" applyNumberFormat="1" applyFont="1" applyFill="1" applyBorder="1" applyAlignment="1">
      <alignment horizontal="center" vertical="center"/>
    </xf>
    <xf numFmtId="164" fontId="5" fillId="0" borderId="1" xfId="1" applyNumberFormat="1" applyFont="1" applyFill="1" applyBorder="1" applyAlignment="1">
      <alignment horizontal="center" vertical="center" wrapText="1" readingOrder="2"/>
    </xf>
    <xf numFmtId="0" fontId="5" fillId="0" borderId="1" xfId="0" applyFont="1" applyBorder="1" applyAlignment="1">
      <alignment horizontal="center" vertical="center" wrapText="1" readingOrder="2"/>
    </xf>
    <xf numFmtId="164" fontId="6" fillId="0" borderId="3" xfId="1" applyNumberFormat="1" applyFont="1" applyFill="1" applyBorder="1" applyAlignment="1">
      <alignment horizontal="center" vertical="center" wrapText="1" readingOrder="2"/>
    </xf>
    <xf numFmtId="164" fontId="6" fillId="0" borderId="1" xfId="1" applyNumberFormat="1" applyFont="1" applyFill="1" applyBorder="1" applyAlignment="1">
      <alignment horizontal="center" vertical="center" wrapText="1" readingOrder="2"/>
    </xf>
    <xf numFmtId="164" fontId="8" fillId="0" borderId="3" xfId="1" applyNumberFormat="1" applyFont="1" applyFill="1" applyBorder="1" applyAlignment="1">
      <alignment horizontal="center" vertical="center" wrapText="1" readingOrder="2"/>
    </xf>
    <xf numFmtId="164" fontId="8" fillId="0" borderId="1" xfId="1" applyNumberFormat="1" applyFont="1" applyFill="1" applyBorder="1" applyAlignment="1">
      <alignment horizontal="center" vertical="center" wrapText="1" readingOrder="2"/>
    </xf>
    <xf numFmtId="10" fontId="6" fillId="0" borderId="3" xfId="2" applyNumberFormat="1" applyFont="1" applyFill="1" applyBorder="1" applyAlignment="1">
      <alignment horizontal="center" vertical="center" wrapText="1" readingOrder="2"/>
    </xf>
    <xf numFmtId="10" fontId="6" fillId="0" borderId="1" xfId="2" applyNumberFormat="1" applyFont="1" applyFill="1" applyBorder="1" applyAlignment="1">
      <alignment horizontal="center" vertical="center" wrapText="1" readingOrder="2"/>
    </xf>
    <xf numFmtId="0" fontId="9" fillId="0" borderId="0" xfId="0" applyFont="1" applyAlignment="1">
      <alignment horizontal="center"/>
    </xf>
    <xf numFmtId="0" fontId="11" fillId="0" borderId="0" xfId="0" applyFont="1" applyAlignment="1">
      <alignment horizontal="right" vertical="center" readingOrder="2"/>
    </xf>
    <xf numFmtId="0" fontId="9" fillId="0" borderId="1" xfId="0" applyFont="1" applyBorder="1" applyAlignment="1">
      <alignment horizontal="center" vertical="center" wrapText="1" readingOrder="2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 vertical="center" wrapText="1" readingOrder="2"/>
    </xf>
    <xf numFmtId="0" fontId="9" fillId="0" borderId="0" xfId="0" applyFont="1" applyAlignment="1">
      <alignment horizontal="center" vertical="center" wrapText="1" readingOrder="2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3" xfId="0" applyFont="1" applyBorder="1" applyAlignment="1">
      <alignment horizontal="center" vertical="center" readingOrder="2"/>
    </xf>
    <xf numFmtId="0" fontId="9" fillId="0" borderId="1" xfId="0" applyFont="1" applyBorder="1" applyAlignment="1">
      <alignment horizontal="center" vertical="center" readingOrder="2"/>
    </xf>
    <xf numFmtId="0" fontId="20" fillId="0" borderId="3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 readingOrder="2"/>
    </xf>
    <xf numFmtId="0" fontId="18" fillId="0" borderId="1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0" fillId="0" borderId="3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9" fillId="0" borderId="0" xfId="0" applyFont="1" applyAlignment="1">
      <alignment horizontal="right" vertical="center" readingOrder="2"/>
    </xf>
    <xf numFmtId="0" fontId="20" fillId="0" borderId="3" xfId="0" applyFont="1" applyBorder="1" applyAlignment="1">
      <alignment horizontal="center" vertical="center" readingOrder="2"/>
    </xf>
    <xf numFmtId="0" fontId="20" fillId="0" borderId="1" xfId="0" applyFont="1" applyBorder="1" applyAlignment="1">
      <alignment horizontal="center" vertical="center" readingOrder="2"/>
    </xf>
    <xf numFmtId="0" fontId="20" fillId="0" borderId="0" xfId="0" applyFont="1" applyAlignment="1">
      <alignment horizontal="center" vertical="center" wrapText="1" readingOrder="2"/>
    </xf>
    <xf numFmtId="0" fontId="20" fillId="0" borderId="1" xfId="0" applyFont="1" applyBorder="1" applyAlignment="1">
      <alignment horizontal="center" vertical="center" wrapText="1" readingOrder="2"/>
    </xf>
    <xf numFmtId="164" fontId="20" fillId="0" borderId="0" xfId="1" applyNumberFormat="1" applyFont="1" applyFill="1" applyBorder="1" applyAlignment="1">
      <alignment horizontal="center" vertical="center" readingOrder="2"/>
    </xf>
    <xf numFmtId="164" fontId="20" fillId="0" borderId="1" xfId="1" applyNumberFormat="1" applyFont="1" applyFill="1" applyBorder="1" applyAlignment="1">
      <alignment horizontal="center" vertical="center" readingOrder="2"/>
    </xf>
    <xf numFmtId="0" fontId="20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center"/>
    </xf>
    <xf numFmtId="164" fontId="24" fillId="0" borderId="1" xfId="1" applyNumberFormat="1" applyFont="1" applyFill="1" applyBorder="1" applyAlignment="1">
      <alignment horizontal="center" vertical="center" wrapText="1" readingOrder="2"/>
    </xf>
    <xf numFmtId="37" fontId="28" fillId="0" borderId="11" xfId="0" applyNumberFormat="1" applyFont="1" applyBorder="1" applyAlignment="1">
      <alignment horizontal="center" vertical="center"/>
    </xf>
    <xf numFmtId="0" fontId="14" fillId="0" borderId="12" xfId="0" applyFont="1" applyBorder="1"/>
    <xf numFmtId="0" fontId="22" fillId="0" borderId="0" xfId="0" applyFont="1" applyAlignment="1">
      <alignment horizontal="center"/>
    </xf>
    <xf numFmtId="0" fontId="26" fillId="0" borderId="0" xfId="0" applyFont="1" applyAlignment="1">
      <alignment horizontal="right" vertical="center" readingOrder="2"/>
    </xf>
    <xf numFmtId="165" fontId="26" fillId="0" borderId="0" xfId="1" applyNumberFormat="1" applyFont="1" applyFill="1" applyAlignment="1">
      <alignment horizontal="right" vertical="center" readingOrder="2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165" fontId="23" fillId="0" borderId="1" xfId="1" applyNumberFormat="1" applyFont="1" applyFill="1" applyBorder="1" applyAlignment="1">
      <alignment horizontal="center" vertical="center" wrapText="1" readingOrder="2"/>
    </xf>
    <xf numFmtId="0" fontId="23" fillId="0" borderId="1" xfId="0" applyFont="1" applyBorder="1" applyAlignment="1">
      <alignment horizontal="center" vertical="center" wrapText="1" readingOrder="2"/>
    </xf>
    <xf numFmtId="0" fontId="20" fillId="0" borderId="5" xfId="0" applyFont="1" applyBorder="1" applyAlignment="1">
      <alignment horizontal="center"/>
    </xf>
    <xf numFmtId="0" fontId="20" fillId="0" borderId="6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165" fontId="22" fillId="0" borderId="1" xfId="1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164" fontId="24" fillId="0" borderId="3" xfId="1" applyNumberFormat="1" applyFont="1" applyFill="1" applyBorder="1" applyAlignment="1">
      <alignment horizontal="center" vertical="center" wrapText="1" readingOrder="2"/>
    </xf>
    <xf numFmtId="164" fontId="24" fillId="0" borderId="0" xfId="1" applyNumberFormat="1" applyFont="1" applyFill="1" applyBorder="1" applyAlignment="1">
      <alignment horizontal="center" vertical="center" wrapText="1" readingOrder="2"/>
    </xf>
    <xf numFmtId="165" fontId="24" fillId="0" borderId="3" xfId="1" applyNumberFormat="1" applyFont="1" applyFill="1" applyBorder="1" applyAlignment="1">
      <alignment horizontal="center" vertical="center" wrapText="1" readingOrder="2"/>
    </xf>
    <xf numFmtId="165" fontId="24" fillId="0" borderId="0" xfId="1" applyNumberFormat="1" applyFont="1" applyFill="1" applyBorder="1" applyAlignment="1">
      <alignment horizontal="center" vertical="center" wrapText="1" readingOrder="2"/>
    </xf>
    <xf numFmtId="0" fontId="24" fillId="0" borderId="3" xfId="0" applyFont="1" applyBorder="1" applyAlignment="1">
      <alignment horizontal="center" vertical="center" wrapText="1" readingOrder="2"/>
    </xf>
    <xf numFmtId="0" fontId="24" fillId="0" borderId="1" xfId="0" applyFont="1" applyBorder="1" applyAlignment="1">
      <alignment horizontal="center" vertical="center" wrapText="1" readingOrder="2"/>
    </xf>
    <xf numFmtId="164" fontId="15" fillId="0" borderId="3" xfId="1" applyNumberFormat="1" applyFont="1" applyFill="1" applyBorder="1" applyAlignment="1">
      <alignment horizontal="center" vertical="center" wrapText="1"/>
    </xf>
    <xf numFmtId="164" fontId="15" fillId="0" borderId="0" xfId="1" applyNumberFormat="1" applyFont="1" applyFill="1" applyBorder="1" applyAlignment="1">
      <alignment horizontal="center" vertical="center" wrapText="1"/>
    </xf>
    <xf numFmtId="164" fontId="15" fillId="0" borderId="0" xfId="1" applyNumberFormat="1" applyFont="1" applyFill="1" applyAlignment="1">
      <alignment horizontal="center" vertical="center" wrapText="1"/>
    </xf>
    <xf numFmtId="165" fontId="15" fillId="0" borderId="3" xfId="1" applyNumberFormat="1" applyFont="1" applyFill="1" applyBorder="1" applyAlignment="1">
      <alignment horizontal="center" vertical="center" wrapText="1"/>
    </xf>
    <xf numFmtId="165" fontId="15" fillId="0" borderId="0" xfId="1" applyNumberFormat="1" applyFont="1" applyFill="1" applyBorder="1" applyAlignment="1">
      <alignment horizontal="center" vertical="center" wrapText="1"/>
    </xf>
    <xf numFmtId="165" fontId="15" fillId="0" borderId="0" xfId="1" applyNumberFormat="1" applyFont="1" applyFill="1" applyAlignment="1">
      <alignment horizontal="center" vertical="center" wrapText="1"/>
    </xf>
    <xf numFmtId="165" fontId="15" fillId="0" borderId="3" xfId="0" applyNumberFormat="1" applyFont="1" applyBorder="1" applyAlignment="1">
      <alignment horizontal="center" vertical="center" wrapText="1"/>
    </xf>
    <xf numFmtId="165" fontId="15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 readingOrder="2"/>
    </xf>
    <xf numFmtId="0" fontId="29" fillId="0" borderId="0" xfId="0" applyFont="1" applyAlignment="1">
      <alignment horizontal="center" vertical="center" wrapText="1" readingOrder="2"/>
    </xf>
    <xf numFmtId="0" fontId="29" fillId="0" borderId="1" xfId="0" applyFont="1" applyBorder="1" applyAlignment="1">
      <alignment horizontal="center" vertical="center" wrapText="1" readingOrder="2"/>
    </xf>
    <xf numFmtId="164" fontId="29" fillId="0" borderId="1" xfId="0" applyNumberFormat="1" applyFont="1" applyBorder="1" applyAlignment="1">
      <alignment horizontal="center" vertical="center" wrapText="1" readingOrder="2"/>
    </xf>
    <xf numFmtId="0" fontId="20" fillId="0" borderId="3" xfId="0" applyFont="1" applyBorder="1" applyAlignment="1">
      <alignment vertical="center" wrapText="1"/>
    </xf>
    <xf numFmtId="0" fontId="20" fillId="0" borderId="0" xfId="0" applyFont="1" applyAlignment="1">
      <alignment vertical="center" wrapText="1"/>
    </xf>
    <xf numFmtId="0" fontId="29" fillId="0" borderId="4" xfId="0" applyFont="1" applyBorder="1" applyAlignment="1">
      <alignment horizontal="center" vertical="center" wrapText="1" readingOrder="2"/>
    </xf>
    <xf numFmtId="164" fontId="18" fillId="0" borderId="4" xfId="1" applyNumberFormat="1" applyFont="1" applyFill="1" applyBorder="1" applyAlignment="1">
      <alignment horizontal="center" vertical="center" wrapText="1"/>
    </xf>
    <xf numFmtId="0" fontId="10" fillId="0" borderId="0" xfId="0" quotePrefix="1" applyFont="1" applyFill="1" applyAlignment="1">
      <alignment horizontal="right" vertical="center"/>
    </xf>
    <xf numFmtId="0" fontId="10" fillId="0" borderId="0" xfId="0" applyFont="1" applyFill="1" applyAlignment="1">
      <alignment vertical="center"/>
    </xf>
    <xf numFmtId="164" fontId="14" fillId="0" borderId="0" xfId="0" applyNumberFormat="1" applyFont="1" applyFill="1"/>
    <xf numFmtId="164" fontId="47" fillId="0" borderId="0" xfId="0" applyNumberFormat="1" applyFont="1" applyFill="1"/>
    <xf numFmtId="0" fontId="14" fillId="0" borderId="0" xfId="0" applyFont="1" applyFill="1"/>
    <xf numFmtId="165" fontId="9" fillId="0" borderId="4" xfId="1" applyNumberFormat="1" applyFont="1" applyFill="1" applyBorder="1" applyAlignment="1">
      <alignment horizontal="center" vertical="center" wrapText="1" readingOrder="2"/>
    </xf>
    <xf numFmtId="165" fontId="9" fillId="0" borderId="0" xfId="0" applyNumberFormat="1" applyFont="1" applyAlignment="1">
      <alignment horizontal="center" vertical="center" wrapText="1" readingOrder="2"/>
    </xf>
    <xf numFmtId="165" fontId="9" fillId="0" borderId="8" xfId="0" applyNumberFormat="1" applyFont="1" applyBorder="1" applyAlignment="1">
      <alignment horizontal="center" vertical="center" wrapText="1" readingOrder="2"/>
    </xf>
    <xf numFmtId="165" fontId="58" fillId="0" borderId="0" xfId="0" applyNumberFormat="1" applyFont="1" applyAlignment="1">
      <alignment horizontal="center" vertical="center" wrapText="1" readingOrder="2"/>
    </xf>
  </cellXfs>
  <cellStyles count="5">
    <cellStyle name="Comma" xfId="1" builtinId="3"/>
    <cellStyle name="Hyperlink 2" xfId="4" xr:uid="{00000000-0005-0000-0000-000001000000}"/>
    <cellStyle name="Normal" xfId="0" builtinId="0"/>
    <cellStyle name="Normal 2" xfId="3" xr:uid="{00000000-0005-0000-0000-000003000000}"/>
    <cellStyle name="Percent" xfId="2" builtinId="5"/>
  </cellStyles>
  <dxfs count="3">
    <dxf>
      <font>
        <color theme="7" tint="0.39994506668294322"/>
      </font>
      <fill>
        <patternFill patternType="lightGray">
          <fgColor theme="7" tint="0.59996337778862885"/>
          <bgColor theme="0"/>
        </patternFill>
      </fill>
    </dxf>
    <dxf>
      <font>
        <color theme="7" tint="0.39994506668294322"/>
      </font>
      <fill>
        <patternFill patternType="lightGray">
          <fgColor theme="7" tint="0.59996337778862885"/>
          <bgColor theme="0"/>
        </patternFill>
      </fill>
    </dxf>
    <dxf>
      <font>
        <color theme="7" tint="0.39994506668294322"/>
      </font>
      <fill>
        <patternFill patternType="lightGray">
          <fgColor theme="7" tint="0.59996337778862885"/>
          <bgColor theme="0"/>
        </patternFill>
      </fill>
    </dxf>
  </dxfs>
  <tableStyles count="0" defaultTableStyle="TableStyleMedium2" defaultPivotStyle="PivotStyleLight16"/>
  <colors>
    <mruColors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571500</xdr:colOff>
      <xdr:row>7</xdr:row>
      <xdr:rowOff>142875</xdr:rowOff>
    </xdr:from>
    <xdr:to>
      <xdr:col>7</xdr:col>
      <xdr:colOff>590550</xdr:colOff>
      <xdr:row>18</xdr:row>
      <xdr:rowOff>211039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FB192CA-790C-4808-8775-BE7EF242B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2828650" y="2114550"/>
          <a:ext cx="4286250" cy="24779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19050</xdr:rowOff>
    </xdr:from>
    <xdr:to>
      <xdr:col>9</xdr:col>
      <xdr:colOff>0</xdr:colOff>
      <xdr:row>33</xdr:row>
      <xdr:rowOff>28574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C5DA821-485D-4538-9584-3F75DC9588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85946875" y="19050"/>
          <a:ext cx="6257925" cy="703897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676275</xdr:colOff>
      <xdr:row>33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490AF96-2577-4CE7-9A0B-17C0F26DBF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385965925" y="0"/>
          <a:ext cx="6238875" cy="7048501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1</xdr:rowOff>
    </xdr:from>
    <xdr:to>
      <xdr:col>9</xdr:col>
      <xdr:colOff>22859</xdr:colOff>
      <xdr:row>33</xdr:row>
      <xdr:rowOff>38101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53E9081-99EC-2689-334D-36D55C509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31732141" y="1"/>
          <a:ext cx="5646418" cy="6720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6:M29"/>
  <sheetViews>
    <sheetView rightToLeft="1" view="pageBreakPreview" topLeftCell="A13" zoomScaleNormal="100" zoomScaleSheetLayoutView="100" workbookViewId="0">
      <selection activeCell="F20" sqref="F20"/>
    </sheetView>
  </sheetViews>
  <sheetFormatPr defaultColWidth="9.109375" defaultRowHeight="16.2"/>
  <cols>
    <col min="1" max="16384" width="9.109375" style="68"/>
  </cols>
  <sheetData>
    <row r="16" spans="13:13">
      <c r="M16" s="68" t="s">
        <v>55</v>
      </c>
    </row>
    <row r="22" spans="1:12" ht="15" customHeight="1">
      <c r="A22" s="261" t="s">
        <v>68</v>
      </c>
      <c r="B22" s="261"/>
      <c r="C22" s="261"/>
      <c r="D22" s="261"/>
      <c r="E22" s="261"/>
      <c r="F22" s="261"/>
      <c r="G22" s="261"/>
      <c r="H22" s="261"/>
      <c r="I22" s="261"/>
      <c r="J22" s="261"/>
      <c r="K22" s="249"/>
      <c r="L22" s="249"/>
    </row>
    <row r="23" spans="1:12" ht="15" customHeight="1">
      <c r="A23" s="261"/>
      <c r="B23" s="261"/>
      <c r="C23" s="261"/>
      <c r="D23" s="261"/>
      <c r="E23" s="261"/>
      <c r="F23" s="261"/>
      <c r="G23" s="261"/>
      <c r="H23" s="261"/>
      <c r="I23" s="261"/>
      <c r="J23" s="261"/>
      <c r="K23" s="249"/>
      <c r="L23" s="249"/>
    </row>
    <row r="24" spans="1:12" ht="15" customHeight="1">
      <c r="A24" s="261"/>
      <c r="B24" s="261"/>
      <c r="C24" s="261"/>
      <c r="D24" s="261"/>
      <c r="E24" s="261"/>
      <c r="F24" s="261"/>
      <c r="G24" s="261"/>
      <c r="H24" s="261"/>
      <c r="I24" s="261"/>
      <c r="J24" s="261"/>
      <c r="K24" s="249"/>
      <c r="L24" s="249"/>
    </row>
    <row r="26" spans="1:12" ht="15" customHeight="1">
      <c r="A26" s="261" t="s">
        <v>532</v>
      </c>
      <c r="B26" s="261"/>
      <c r="C26" s="261"/>
      <c r="D26" s="261"/>
      <c r="E26" s="261"/>
      <c r="F26" s="261"/>
      <c r="G26" s="261"/>
      <c r="H26" s="261"/>
      <c r="I26" s="261"/>
      <c r="J26" s="261"/>
      <c r="K26" s="261"/>
      <c r="L26" s="261"/>
    </row>
    <row r="27" spans="1:12" ht="15" customHeight="1">
      <c r="A27" s="261"/>
      <c r="B27" s="261"/>
      <c r="C27" s="261"/>
      <c r="D27" s="261"/>
      <c r="E27" s="261"/>
      <c r="F27" s="261"/>
      <c r="G27" s="261"/>
      <c r="H27" s="261"/>
      <c r="I27" s="261"/>
      <c r="J27" s="261"/>
      <c r="K27" s="261"/>
      <c r="L27" s="261"/>
    </row>
    <row r="28" spans="1:12" ht="15" customHeight="1">
      <c r="A28" s="261"/>
      <c r="B28" s="261"/>
      <c r="C28" s="261"/>
      <c r="D28" s="261"/>
      <c r="E28" s="261"/>
      <c r="F28" s="261"/>
      <c r="G28" s="261"/>
      <c r="H28" s="261"/>
      <c r="I28" s="261"/>
      <c r="J28" s="261"/>
      <c r="K28" s="261"/>
      <c r="L28" s="261"/>
    </row>
    <row r="29" spans="1:12" ht="15" customHeight="1">
      <c r="A29" s="249"/>
      <c r="B29" s="249"/>
      <c r="C29" s="249"/>
      <c r="D29" s="249"/>
      <c r="E29" s="249"/>
      <c r="F29" s="249"/>
      <c r="G29" s="249"/>
      <c r="H29" s="249"/>
      <c r="I29" s="249"/>
      <c r="J29" s="249"/>
      <c r="K29" s="261"/>
      <c r="L29" s="261"/>
    </row>
  </sheetData>
  <mergeCells count="4">
    <mergeCell ref="A22:J24"/>
    <mergeCell ref="A26:J28"/>
    <mergeCell ref="K26:L28"/>
    <mergeCell ref="K29:L29"/>
  </mergeCells>
  <printOptions horizontalCentered="1"/>
  <pageMargins left="0.25" right="0.25" top="0.75" bottom="0.75" header="0.3" footer="0.3"/>
  <pageSetup paperSize="9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203"/>
  <sheetViews>
    <sheetView rightToLeft="1" view="pageBreakPreview" zoomScale="50" zoomScaleNormal="100" zoomScaleSheetLayoutView="50" workbookViewId="0">
      <selection activeCell="Z16" sqref="Z16"/>
    </sheetView>
  </sheetViews>
  <sheetFormatPr defaultColWidth="9.109375" defaultRowHeight="29.4"/>
  <cols>
    <col min="1" max="1" width="51.88671875" style="8" bestFit="1" customWidth="1"/>
    <col min="2" max="2" width="1.88671875" style="8" customWidth="1"/>
    <col min="3" max="3" width="18.88671875" style="6" bestFit="1" customWidth="1"/>
    <col min="4" max="4" width="1.109375" style="6" customWidth="1"/>
    <col min="5" max="5" width="29" style="6" bestFit="1" customWidth="1"/>
    <col min="6" max="6" width="1.44140625" style="6" customWidth="1"/>
    <col min="7" max="7" width="27.5546875" style="6" customWidth="1"/>
    <col min="8" max="8" width="1.5546875" style="6" customWidth="1"/>
    <col min="9" max="9" width="17.88671875" style="6" bestFit="1" customWidth="1"/>
    <col min="10" max="10" width="28.6640625" style="6" customWidth="1"/>
    <col min="11" max="11" width="1.44140625" style="6" customWidth="1"/>
    <col min="12" max="12" width="17.88671875" style="6" bestFit="1" customWidth="1"/>
    <col min="13" max="13" width="24.44140625" style="6" bestFit="1" customWidth="1"/>
    <col min="14" max="14" width="1.109375" style="6" customWidth="1"/>
    <col min="15" max="15" width="18.88671875" style="6" bestFit="1" customWidth="1"/>
    <col min="16" max="16" width="1.44140625" style="6" customWidth="1"/>
    <col min="17" max="17" width="13.5546875" style="160" bestFit="1" customWidth="1"/>
    <col min="18" max="18" width="1.5546875" style="6" customWidth="1"/>
    <col min="19" max="19" width="26.88671875" style="6" bestFit="1" customWidth="1"/>
    <col min="20" max="20" width="1.88671875" style="6" customWidth="1"/>
    <col min="21" max="21" width="34.6640625" style="210" bestFit="1" customWidth="1"/>
    <col min="22" max="22" width="1.5546875" style="8" customWidth="1"/>
    <col min="23" max="23" width="14.6640625" style="118" bestFit="1" customWidth="1"/>
    <col min="24" max="24" width="26.88671875" style="8" hidden="1" customWidth="1"/>
    <col min="25" max="25" width="16.44140625" style="8" bestFit="1" customWidth="1"/>
    <col min="26" max="26" width="27.33203125" style="8" customWidth="1"/>
    <col min="27" max="27" width="22.33203125" style="8" customWidth="1"/>
    <col min="28" max="28" width="18.109375" style="8" bestFit="1" customWidth="1"/>
    <col min="29" max="16384" width="9.109375" style="8"/>
  </cols>
  <sheetData>
    <row r="1" spans="1:26" ht="30.6">
      <c r="A1" s="262" t="s">
        <v>83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  <c r="S1" s="262"/>
      <c r="T1" s="262"/>
      <c r="U1" s="262"/>
      <c r="V1" s="262"/>
      <c r="W1" s="262"/>
    </row>
    <row r="2" spans="1:26" ht="30.6">
      <c r="A2" s="262" t="s">
        <v>47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W2" s="262"/>
    </row>
    <row r="3" spans="1:26" ht="30.6">
      <c r="A3" s="262" t="s">
        <v>533</v>
      </c>
      <c r="B3" s="262"/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262"/>
      <c r="Q3" s="262"/>
      <c r="R3" s="262"/>
      <c r="S3" s="262"/>
      <c r="T3" s="262"/>
      <c r="U3" s="262"/>
      <c r="V3" s="262"/>
      <c r="W3" s="262"/>
    </row>
    <row r="4" spans="1:26" ht="30.6">
      <c r="A4" s="271" t="s">
        <v>25</v>
      </c>
      <c r="B4" s="271"/>
      <c r="C4" s="271"/>
      <c r="D4" s="271"/>
      <c r="E4" s="271"/>
      <c r="F4" s="271"/>
      <c r="G4" s="271"/>
      <c r="H4" s="271"/>
      <c r="I4" s="271"/>
      <c r="J4" s="271"/>
      <c r="K4" s="271"/>
      <c r="L4" s="271"/>
      <c r="M4" s="271"/>
      <c r="N4" s="271"/>
      <c r="O4" s="271"/>
      <c r="P4" s="271"/>
      <c r="Q4" s="271"/>
      <c r="R4" s="271"/>
      <c r="S4" s="271"/>
      <c r="T4" s="271"/>
      <c r="U4" s="271"/>
      <c r="V4" s="271"/>
      <c r="W4" s="271"/>
    </row>
    <row r="5" spans="1:26" ht="30.6">
      <c r="A5" s="271" t="s">
        <v>26</v>
      </c>
      <c r="B5" s="271"/>
      <c r="C5" s="271"/>
      <c r="D5" s="271"/>
      <c r="E5" s="271"/>
      <c r="F5" s="271"/>
      <c r="G5" s="271"/>
      <c r="H5" s="271"/>
      <c r="I5" s="271"/>
      <c r="J5" s="271"/>
      <c r="K5" s="271"/>
      <c r="L5" s="271"/>
      <c r="M5" s="271"/>
      <c r="N5" s="271"/>
      <c r="O5" s="271"/>
      <c r="P5" s="271"/>
      <c r="Q5" s="271"/>
      <c r="R5" s="271"/>
      <c r="S5" s="271"/>
      <c r="T5" s="271"/>
      <c r="U5" s="271"/>
      <c r="V5" s="271"/>
      <c r="W5" s="271"/>
    </row>
    <row r="7" spans="1:26" ht="31.2" thickBot="1">
      <c r="A7" s="27"/>
      <c r="B7" s="112"/>
      <c r="C7" s="273" t="s">
        <v>514</v>
      </c>
      <c r="D7" s="273"/>
      <c r="E7" s="273"/>
      <c r="F7" s="273"/>
      <c r="G7" s="273"/>
      <c r="H7" s="113"/>
      <c r="I7" s="272" t="s">
        <v>7</v>
      </c>
      <c r="J7" s="272"/>
      <c r="K7" s="272"/>
      <c r="L7" s="272"/>
      <c r="M7" s="272"/>
      <c r="O7" s="274" t="s">
        <v>534</v>
      </c>
      <c r="P7" s="274"/>
      <c r="Q7" s="274"/>
      <c r="R7" s="274"/>
      <c r="S7" s="274"/>
      <c r="T7" s="274"/>
      <c r="U7" s="274"/>
      <c r="V7" s="274"/>
      <c r="W7" s="274"/>
    </row>
    <row r="8" spans="1:26">
      <c r="A8" s="263" t="s">
        <v>1</v>
      </c>
      <c r="B8" s="114"/>
      <c r="C8" s="269" t="s">
        <v>3</v>
      </c>
      <c r="D8" s="266"/>
      <c r="E8" s="269" t="s">
        <v>0</v>
      </c>
      <c r="F8" s="266"/>
      <c r="G8" s="275" t="s">
        <v>21</v>
      </c>
      <c r="H8" s="212"/>
      <c r="I8" s="265" t="s">
        <v>4</v>
      </c>
      <c r="J8" s="265"/>
      <c r="K8" s="115"/>
      <c r="L8" s="265" t="s">
        <v>5</v>
      </c>
      <c r="M8" s="265"/>
      <c r="O8" s="267" t="s">
        <v>3</v>
      </c>
      <c r="P8" s="266"/>
      <c r="Q8" s="277" t="s">
        <v>473</v>
      </c>
      <c r="R8" s="211"/>
      <c r="S8" s="267" t="s">
        <v>0</v>
      </c>
      <c r="T8" s="266"/>
      <c r="U8" s="275" t="s">
        <v>21</v>
      </c>
      <c r="V8" s="116"/>
      <c r="W8" s="279" t="s">
        <v>474</v>
      </c>
      <c r="Y8" s="209"/>
    </row>
    <row r="9" spans="1:26" ht="30" thickBot="1">
      <c r="A9" s="264"/>
      <c r="B9" s="114"/>
      <c r="C9" s="268"/>
      <c r="D9" s="270"/>
      <c r="E9" s="268"/>
      <c r="F9" s="270"/>
      <c r="G9" s="276"/>
      <c r="H9" s="212"/>
      <c r="I9" s="213" t="s">
        <v>3</v>
      </c>
      <c r="J9" s="213" t="s">
        <v>0</v>
      </c>
      <c r="K9" s="115"/>
      <c r="L9" s="213" t="s">
        <v>3</v>
      </c>
      <c r="M9" s="213" t="s">
        <v>46</v>
      </c>
      <c r="O9" s="268"/>
      <c r="P9" s="266"/>
      <c r="Q9" s="278"/>
      <c r="R9" s="211"/>
      <c r="S9" s="268"/>
      <c r="T9" s="266"/>
      <c r="U9" s="276"/>
      <c r="V9" s="116"/>
      <c r="W9" s="280"/>
      <c r="Y9" s="209"/>
    </row>
    <row r="10" spans="1:26">
      <c r="A10" s="117" t="s">
        <v>118</v>
      </c>
      <c r="C10" s="210">
        <v>993943</v>
      </c>
      <c r="D10" s="210"/>
      <c r="E10" s="210">
        <v>9312138340</v>
      </c>
      <c r="F10" s="210"/>
      <c r="G10" s="182">
        <v>7400337508</v>
      </c>
      <c r="H10" s="210"/>
      <c r="I10" s="210">
        <v>1787197</v>
      </c>
      <c r="J10" s="210">
        <v>14612717875</v>
      </c>
      <c r="K10" s="25"/>
      <c r="L10" s="210">
        <v>12821</v>
      </c>
      <c r="M10" s="210">
        <v>120118483</v>
      </c>
      <c r="N10" s="210"/>
      <c r="O10" s="210">
        <v>2768319</v>
      </c>
      <c r="P10" s="210"/>
      <c r="Q10" s="254" t="s">
        <v>546</v>
      </c>
      <c r="R10" s="210"/>
      <c r="S10" s="210">
        <v>23804737732</v>
      </c>
      <c r="T10" s="210"/>
      <c r="U10" s="6">
        <v>23858517847</v>
      </c>
      <c r="V10" s="25"/>
      <c r="W10" s="26">
        <f>U10/درآمدها!$J$5</f>
        <v>6.0949665673279488E-3</v>
      </c>
      <c r="X10" s="172">
        <f>C10+I10-L10</f>
        <v>2768319</v>
      </c>
      <c r="Y10" s="209"/>
      <c r="Z10" s="181"/>
    </row>
    <row r="11" spans="1:26">
      <c r="A11" s="117" t="s">
        <v>274</v>
      </c>
      <c r="C11" s="210">
        <v>57792</v>
      </c>
      <c r="D11" s="210"/>
      <c r="E11" s="210">
        <v>267370545</v>
      </c>
      <c r="F11" s="210"/>
      <c r="G11" s="6">
        <v>275808513</v>
      </c>
      <c r="H11" s="210"/>
      <c r="I11" s="210">
        <v>0</v>
      </c>
      <c r="J11" s="210">
        <v>0</v>
      </c>
      <c r="K11" s="25"/>
      <c r="L11" s="210">
        <v>57792</v>
      </c>
      <c r="M11" s="210">
        <v>267370545</v>
      </c>
      <c r="N11" s="210"/>
      <c r="O11" s="210">
        <v>0</v>
      </c>
      <c r="P11" s="210"/>
      <c r="Q11" s="254"/>
      <c r="R11" s="210"/>
      <c r="S11" s="210">
        <v>0</v>
      </c>
      <c r="T11" s="210"/>
      <c r="U11" s="6">
        <v>0</v>
      </c>
      <c r="V11" s="25"/>
      <c r="W11" s="26">
        <f>U11/درآمدها!$J$5</f>
        <v>0</v>
      </c>
      <c r="X11" s="172"/>
      <c r="Y11" s="209"/>
      <c r="Z11" s="181"/>
    </row>
    <row r="12" spans="1:26">
      <c r="A12" s="117" t="s">
        <v>261</v>
      </c>
      <c r="C12" s="210">
        <v>81067</v>
      </c>
      <c r="D12" s="210"/>
      <c r="E12" s="210">
        <v>1568479302</v>
      </c>
      <c r="F12" s="210"/>
      <c r="G12" s="6">
        <v>1326423365</v>
      </c>
      <c r="H12" s="210"/>
      <c r="I12" s="210">
        <v>0</v>
      </c>
      <c r="J12" s="210">
        <v>0</v>
      </c>
      <c r="K12" s="25"/>
      <c r="L12" s="210">
        <v>1650</v>
      </c>
      <c r="M12" s="210">
        <v>31924098</v>
      </c>
      <c r="N12" s="210"/>
      <c r="O12" s="210">
        <v>79417</v>
      </c>
      <c r="P12" s="210"/>
      <c r="Q12" s="254" t="s">
        <v>547</v>
      </c>
      <c r="R12" s="210"/>
      <c r="S12" s="210">
        <v>1536555204</v>
      </c>
      <c r="T12" s="210"/>
      <c r="U12" s="6">
        <v>1336529862</v>
      </c>
      <c r="V12" s="25"/>
      <c r="W12" s="26">
        <f>U12/درآمدها!$J$5</f>
        <v>3.4143381736304035E-4</v>
      </c>
      <c r="X12" s="172"/>
      <c r="Y12" s="209"/>
      <c r="Z12" s="181"/>
    </row>
    <row r="13" spans="1:26">
      <c r="A13" s="117" t="s">
        <v>478</v>
      </c>
      <c r="C13" s="210">
        <v>423412</v>
      </c>
      <c r="D13" s="210"/>
      <c r="E13" s="210">
        <v>3848735414</v>
      </c>
      <c r="F13" s="210"/>
      <c r="G13" s="6">
        <v>4520387586</v>
      </c>
      <c r="H13" s="210"/>
      <c r="I13" s="210">
        <v>258316</v>
      </c>
      <c r="J13" s="210">
        <v>2981113824</v>
      </c>
      <c r="K13" s="25"/>
      <c r="L13" s="210">
        <v>8258</v>
      </c>
      <c r="M13" s="210">
        <v>80392516</v>
      </c>
      <c r="N13" s="210"/>
      <c r="O13" s="210">
        <v>673470</v>
      </c>
      <c r="P13" s="210"/>
      <c r="Q13" s="254" t="s">
        <v>548</v>
      </c>
      <c r="R13" s="210"/>
      <c r="S13" s="210">
        <v>6749456722</v>
      </c>
      <c r="T13" s="210"/>
      <c r="U13" s="6">
        <v>7993386475</v>
      </c>
      <c r="V13" s="25"/>
      <c r="W13" s="26">
        <f>U13/درآمدها!$J$5</f>
        <v>2.0420138265622584E-3</v>
      </c>
      <c r="X13" s="172"/>
      <c r="Y13" s="209"/>
      <c r="Z13" s="181"/>
    </row>
    <row r="14" spans="1:26">
      <c r="A14" s="117" t="s">
        <v>191</v>
      </c>
      <c r="C14" s="210">
        <v>6165820</v>
      </c>
      <c r="D14" s="210"/>
      <c r="E14" s="210">
        <v>13474265340</v>
      </c>
      <c r="F14" s="210"/>
      <c r="G14" s="6">
        <v>12380849413</v>
      </c>
      <c r="H14" s="210"/>
      <c r="I14" s="210">
        <v>2854831</v>
      </c>
      <c r="J14" s="210">
        <v>6457544032</v>
      </c>
      <c r="K14" s="25"/>
      <c r="L14" s="210">
        <v>79911</v>
      </c>
      <c r="M14" s="210">
        <v>174630790</v>
      </c>
      <c r="N14" s="210"/>
      <c r="O14" s="210">
        <v>8940740</v>
      </c>
      <c r="P14" s="210"/>
      <c r="Q14" s="254" t="s">
        <v>549</v>
      </c>
      <c r="R14" s="210"/>
      <c r="S14" s="210">
        <v>19757178582</v>
      </c>
      <c r="T14" s="210"/>
      <c r="U14" s="6">
        <v>20450235519</v>
      </c>
      <c r="V14" s="25"/>
      <c r="W14" s="26">
        <f>U14/درآمدها!$J$5</f>
        <v>5.2242768214522742E-3</v>
      </c>
      <c r="X14" s="172"/>
      <c r="Y14" s="209"/>
      <c r="Z14" s="181"/>
    </row>
    <row r="15" spans="1:26">
      <c r="A15" s="117" t="s">
        <v>515</v>
      </c>
      <c r="C15" s="210">
        <v>105786</v>
      </c>
      <c r="D15" s="210"/>
      <c r="E15" s="210">
        <v>1676146395</v>
      </c>
      <c r="F15" s="210"/>
      <c r="G15" s="6">
        <v>1735083461</v>
      </c>
      <c r="H15" s="210"/>
      <c r="I15" s="210">
        <v>117540</v>
      </c>
      <c r="J15" s="210">
        <v>0</v>
      </c>
      <c r="K15" s="25"/>
      <c r="L15" s="210">
        <v>0</v>
      </c>
      <c r="M15" s="210">
        <v>0</v>
      </c>
      <c r="N15" s="210"/>
      <c r="O15" s="210">
        <v>223326</v>
      </c>
      <c r="P15" s="210"/>
      <c r="Q15" s="254" t="s">
        <v>550</v>
      </c>
      <c r="R15" s="210"/>
      <c r="S15" s="210">
        <v>1676146395</v>
      </c>
      <c r="T15" s="210"/>
      <c r="U15" s="6">
        <v>2393129930</v>
      </c>
      <c r="V15" s="25"/>
      <c r="W15" s="26">
        <f>U15/درآمدها!$J$5</f>
        <v>6.1135595296234809E-4</v>
      </c>
      <c r="X15" s="172"/>
      <c r="Y15" s="209"/>
      <c r="Z15" s="181"/>
    </row>
    <row r="16" spans="1:26">
      <c r="A16" s="117" t="s">
        <v>109</v>
      </c>
      <c r="C16" s="210">
        <v>3709595</v>
      </c>
      <c r="D16" s="210"/>
      <c r="E16" s="210">
        <v>7373909003</v>
      </c>
      <c r="F16" s="210"/>
      <c r="G16" s="6">
        <v>8325896932.9341297</v>
      </c>
      <c r="H16" s="210"/>
      <c r="I16" s="210">
        <v>5059116</v>
      </c>
      <c r="J16" s="210">
        <v>13884311380</v>
      </c>
      <c r="K16" s="25"/>
      <c r="L16" s="210">
        <v>747353</v>
      </c>
      <c r="M16" s="210">
        <v>79140024</v>
      </c>
      <c r="N16" s="210"/>
      <c r="O16" s="210">
        <v>8021358</v>
      </c>
      <c r="P16" s="210"/>
      <c r="Q16" s="254" t="s">
        <v>551</v>
      </c>
      <c r="R16" s="210"/>
      <c r="S16" s="210">
        <v>21179080359</v>
      </c>
      <c r="T16" s="210"/>
      <c r="U16" s="6">
        <v>24558783237</v>
      </c>
      <c r="V16" s="25"/>
      <c r="W16" s="26">
        <f>U16/درآمدها!$J$5</f>
        <v>6.2738584066147525E-3</v>
      </c>
      <c r="X16" s="172"/>
      <c r="Y16" s="209"/>
      <c r="Z16" s="181"/>
    </row>
    <row r="17" spans="1:26">
      <c r="A17" s="117" t="s">
        <v>173</v>
      </c>
      <c r="C17" s="210">
        <v>2078630</v>
      </c>
      <c r="D17" s="210"/>
      <c r="E17" s="210">
        <v>15000259505</v>
      </c>
      <c r="F17" s="210"/>
      <c r="G17" s="6">
        <v>13492691853</v>
      </c>
      <c r="H17" s="210"/>
      <c r="I17" s="210">
        <v>1031048</v>
      </c>
      <c r="J17" s="210">
        <v>0</v>
      </c>
      <c r="K17" s="25"/>
      <c r="L17" s="210">
        <v>16533</v>
      </c>
      <c r="M17" s="210">
        <v>119309011</v>
      </c>
      <c r="N17" s="210"/>
      <c r="O17" s="210">
        <v>3093145</v>
      </c>
      <c r="P17" s="210"/>
      <c r="Q17" s="254" t="s">
        <v>552</v>
      </c>
      <c r="R17" s="210"/>
      <c r="S17" s="210">
        <v>14880950494</v>
      </c>
      <c r="T17" s="210"/>
      <c r="U17" s="6">
        <v>15947655553</v>
      </c>
      <c r="V17" s="25"/>
      <c r="W17" s="26">
        <f>U17/درآمدها!$J$5</f>
        <v>4.0740346087767988E-3</v>
      </c>
      <c r="X17" s="172"/>
      <c r="Y17" s="209"/>
      <c r="Z17" s="181"/>
    </row>
    <row r="18" spans="1:26">
      <c r="A18" s="117" t="s">
        <v>168</v>
      </c>
      <c r="C18" s="210">
        <v>6437785</v>
      </c>
      <c r="D18" s="210"/>
      <c r="E18" s="210">
        <v>6123578080</v>
      </c>
      <c r="F18" s="210"/>
      <c r="G18" s="6">
        <v>5701936844</v>
      </c>
      <c r="H18" s="210"/>
      <c r="I18" s="210">
        <v>0</v>
      </c>
      <c r="J18" s="210">
        <v>0</v>
      </c>
      <c r="K18" s="25"/>
      <c r="L18" s="210">
        <v>634515</v>
      </c>
      <c r="M18" s="210">
        <v>603546429</v>
      </c>
      <c r="N18" s="210"/>
      <c r="O18" s="210">
        <v>5803270</v>
      </c>
      <c r="P18" s="210"/>
      <c r="Q18" s="254" t="s">
        <v>553</v>
      </c>
      <c r="R18" s="210"/>
      <c r="S18" s="210">
        <v>5520031651</v>
      </c>
      <c r="T18" s="210"/>
      <c r="U18" s="6">
        <v>8480048602</v>
      </c>
      <c r="V18" s="25"/>
      <c r="W18" s="26">
        <f>U18/درآمدها!$J$5</f>
        <v>2.1663379531769666E-3</v>
      </c>
      <c r="X18" s="172"/>
      <c r="Y18" s="209"/>
      <c r="Z18" s="181"/>
    </row>
    <row r="19" spans="1:26">
      <c r="A19" s="117" t="s">
        <v>269</v>
      </c>
      <c r="C19" s="210">
        <v>88938</v>
      </c>
      <c r="D19" s="210"/>
      <c r="E19" s="210">
        <v>789710972</v>
      </c>
      <c r="F19" s="210"/>
      <c r="G19" s="6">
        <v>869058694</v>
      </c>
      <c r="H19" s="210"/>
      <c r="I19" s="210">
        <v>0</v>
      </c>
      <c r="J19" s="210">
        <v>0</v>
      </c>
      <c r="K19" s="25"/>
      <c r="L19" s="210">
        <v>2125</v>
      </c>
      <c r="M19" s="210">
        <v>18868603</v>
      </c>
      <c r="N19" s="210"/>
      <c r="O19" s="210">
        <v>86813</v>
      </c>
      <c r="P19" s="210"/>
      <c r="Q19" s="254" t="s">
        <v>554</v>
      </c>
      <c r="R19" s="210"/>
      <c r="S19" s="210">
        <v>770842369</v>
      </c>
      <c r="T19" s="210"/>
      <c r="U19" s="6">
        <v>1101142866</v>
      </c>
      <c r="V19" s="25"/>
      <c r="W19" s="26">
        <f>U19/درآمدها!$J$5</f>
        <v>2.8130116871302561E-4</v>
      </c>
      <c r="X19" s="172"/>
      <c r="Y19" s="209"/>
      <c r="Z19" s="181"/>
    </row>
    <row r="20" spans="1:26">
      <c r="A20" s="117" t="s">
        <v>212</v>
      </c>
      <c r="C20" s="210">
        <v>749403</v>
      </c>
      <c r="D20" s="210"/>
      <c r="E20" s="210">
        <v>5043224295</v>
      </c>
      <c r="F20" s="210"/>
      <c r="G20" s="6">
        <v>5385945500</v>
      </c>
      <c r="H20" s="210"/>
      <c r="I20" s="210">
        <v>268544</v>
      </c>
      <c r="J20" s="210">
        <v>1994361784</v>
      </c>
      <c r="K20" s="25"/>
      <c r="L20" s="210">
        <v>12509</v>
      </c>
      <c r="M20" s="210">
        <v>86481088</v>
      </c>
      <c r="N20" s="210"/>
      <c r="O20" s="210">
        <v>1005438</v>
      </c>
      <c r="P20" s="210"/>
      <c r="Q20" s="254" t="s">
        <v>519</v>
      </c>
      <c r="R20" s="210"/>
      <c r="S20" s="210">
        <v>6951104991</v>
      </c>
      <c r="T20" s="210"/>
      <c r="U20" s="6">
        <v>7485922777</v>
      </c>
      <c r="V20" s="25"/>
      <c r="W20" s="26">
        <f>U20/درآمدها!$J$5</f>
        <v>1.9123756699392341E-3</v>
      </c>
      <c r="X20" s="172"/>
      <c r="Y20" s="209"/>
      <c r="Z20" s="181"/>
    </row>
    <row r="21" spans="1:26">
      <c r="A21" s="117" t="s">
        <v>99</v>
      </c>
      <c r="C21" s="210">
        <v>3130564</v>
      </c>
      <c r="D21" s="210"/>
      <c r="E21" s="210">
        <v>15054257697</v>
      </c>
      <c r="F21" s="210"/>
      <c r="G21" s="6">
        <v>13792105427</v>
      </c>
      <c r="H21" s="210"/>
      <c r="I21" s="210">
        <v>2873491</v>
      </c>
      <c r="J21" s="210">
        <v>15798214812</v>
      </c>
      <c r="K21" s="25"/>
      <c r="L21" s="210">
        <v>39078</v>
      </c>
      <c r="M21" s="210">
        <v>187918306</v>
      </c>
      <c r="N21" s="210"/>
      <c r="O21" s="210">
        <v>5964977</v>
      </c>
      <c r="P21" s="210"/>
      <c r="Q21" s="254" t="s">
        <v>555</v>
      </c>
      <c r="R21" s="210"/>
      <c r="S21" s="210">
        <v>30664554203</v>
      </c>
      <c r="T21" s="210"/>
      <c r="U21" s="6">
        <v>34983963787</v>
      </c>
      <c r="V21" s="25"/>
      <c r="W21" s="26">
        <f>U21/درآمدها!$J$5</f>
        <v>8.9371054414089674E-3</v>
      </c>
      <c r="X21" s="172"/>
      <c r="Y21" s="209"/>
      <c r="Z21" s="181"/>
    </row>
    <row r="22" spans="1:26">
      <c r="A22" s="117" t="s">
        <v>129</v>
      </c>
      <c r="C22" s="210">
        <v>2456042</v>
      </c>
      <c r="D22" s="210"/>
      <c r="E22" s="210">
        <v>14721436193</v>
      </c>
      <c r="F22" s="210"/>
      <c r="G22" s="6">
        <v>14355599879</v>
      </c>
      <c r="H22" s="210"/>
      <c r="I22" s="210">
        <v>272213</v>
      </c>
      <c r="J22" s="210">
        <v>1984978517</v>
      </c>
      <c r="K22" s="25"/>
      <c r="L22" s="210">
        <v>30751</v>
      </c>
      <c r="M22" s="210">
        <v>184320498</v>
      </c>
      <c r="N22" s="210"/>
      <c r="O22" s="210">
        <v>2697504</v>
      </c>
      <c r="P22" s="210"/>
      <c r="Q22" s="254" t="s">
        <v>556</v>
      </c>
      <c r="R22" s="210"/>
      <c r="S22" s="210">
        <v>16522094212</v>
      </c>
      <c r="T22" s="210"/>
      <c r="U22" s="6">
        <v>23757681125</v>
      </c>
      <c r="V22" s="25"/>
      <c r="W22" s="26">
        <f>U22/درآمدها!$J$5</f>
        <v>6.0692065241731213E-3</v>
      </c>
      <c r="X22" s="172"/>
      <c r="Y22" s="209"/>
      <c r="Z22" s="181"/>
    </row>
    <row r="23" spans="1:26">
      <c r="A23" s="117" t="s">
        <v>213</v>
      </c>
      <c r="C23" s="210">
        <v>14140617</v>
      </c>
      <c r="D23" s="210"/>
      <c r="E23" s="210">
        <v>56178322433</v>
      </c>
      <c r="F23" s="210"/>
      <c r="G23" s="6">
        <v>58756087778</v>
      </c>
      <c r="H23" s="210"/>
      <c r="I23" s="210">
        <v>3278728</v>
      </c>
      <c r="J23" s="210">
        <v>1014436373</v>
      </c>
      <c r="K23" s="25"/>
      <c r="L23" s="210">
        <v>3184569</v>
      </c>
      <c r="M23" s="210">
        <v>556106277</v>
      </c>
      <c r="N23" s="210"/>
      <c r="O23" s="210">
        <v>14234776</v>
      </c>
      <c r="P23" s="210"/>
      <c r="Q23" s="254" t="s">
        <v>557</v>
      </c>
      <c r="R23" s="210"/>
      <c r="S23" s="210">
        <v>56636652529</v>
      </c>
      <c r="T23" s="210"/>
      <c r="U23" s="6">
        <v>61892445911</v>
      </c>
      <c r="V23" s="25"/>
      <c r="W23" s="26">
        <f>U23/درآمدها!$J$5</f>
        <v>1.5811224780047772E-2</v>
      </c>
      <c r="X23" s="172"/>
      <c r="Y23" s="209"/>
      <c r="Z23" s="181"/>
    </row>
    <row r="24" spans="1:26">
      <c r="A24" s="117" t="s">
        <v>110</v>
      </c>
      <c r="C24" s="210">
        <v>3903227</v>
      </c>
      <c r="D24" s="210"/>
      <c r="E24" s="210">
        <v>8171530917</v>
      </c>
      <c r="F24" s="210"/>
      <c r="G24" s="6">
        <v>9040406525</v>
      </c>
      <c r="H24" s="210"/>
      <c r="I24" s="210">
        <v>0</v>
      </c>
      <c r="J24" s="210">
        <v>0</v>
      </c>
      <c r="K24" s="25"/>
      <c r="L24" s="210">
        <v>52089</v>
      </c>
      <c r="M24" s="210">
        <v>109049992</v>
      </c>
      <c r="N24" s="210"/>
      <c r="O24" s="210">
        <v>3851138</v>
      </c>
      <c r="P24" s="210"/>
      <c r="Q24" s="254" t="s">
        <v>558</v>
      </c>
      <c r="R24" s="210"/>
      <c r="S24" s="210">
        <v>8062480925</v>
      </c>
      <c r="T24" s="210"/>
      <c r="U24" s="6">
        <v>12250315935</v>
      </c>
      <c r="V24" s="25"/>
      <c r="W24" s="26">
        <f>U24/درآمدها!$J$5</f>
        <v>3.1295014443832405E-3</v>
      </c>
      <c r="X24" s="172"/>
      <c r="Y24" s="209"/>
      <c r="Z24" s="181"/>
    </row>
    <row r="25" spans="1:26">
      <c r="A25" s="117" t="s">
        <v>140</v>
      </c>
      <c r="C25" s="210">
        <v>2163812</v>
      </c>
      <c r="D25" s="210"/>
      <c r="E25" s="210">
        <v>6317948089</v>
      </c>
      <c r="F25" s="210"/>
      <c r="G25" s="6">
        <v>6364623529</v>
      </c>
      <c r="H25" s="210"/>
      <c r="I25" s="210">
        <v>13596126</v>
      </c>
      <c r="J25" s="210">
        <v>48105221350</v>
      </c>
      <c r="K25" s="25"/>
      <c r="L25" s="210">
        <v>41704</v>
      </c>
      <c r="M25" s="210">
        <v>126081155</v>
      </c>
      <c r="N25" s="210"/>
      <c r="O25" s="210">
        <v>15718234</v>
      </c>
      <c r="P25" s="210"/>
      <c r="Q25" s="254" t="s">
        <v>559</v>
      </c>
      <c r="R25" s="210"/>
      <c r="S25" s="210">
        <v>54297088284</v>
      </c>
      <c r="T25" s="210"/>
      <c r="U25" s="6">
        <v>55905214199</v>
      </c>
      <c r="V25" s="25"/>
      <c r="W25" s="26">
        <f>U25/درآمدها!$J$5</f>
        <v>1.4281709101433468E-2</v>
      </c>
      <c r="X25" s="172"/>
      <c r="Y25" s="209"/>
      <c r="Z25" s="181"/>
    </row>
    <row r="26" spans="1:26">
      <c r="A26" s="117" t="s">
        <v>479</v>
      </c>
      <c r="C26" s="210">
        <v>986706</v>
      </c>
      <c r="D26" s="210"/>
      <c r="E26" s="210">
        <v>8818331228</v>
      </c>
      <c r="F26" s="210"/>
      <c r="G26" s="6">
        <v>9602375625</v>
      </c>
      <c r="H26" s="210"/>
      <c r="I26" s="210">
        <v>830276</v>
      </c>
      <c r="J26" s="210">
        <v>9460743664</v>
      </c>
      <c r="K26" s="25"/>
      <c r="L26" s="210">
        <v>14141</v>
      </c>
      <c r="M26" s="210">
        <v>128633362</v>
      </c>
      <c r="N26" s="210"/>
      <c r="O26" s="210">
        <v>1802841</v>
      </c>
      <c r="P26" s="210"/>
      <c r="Q26" s="254" t="s">
        <v>560</v>
      </c>
      <c r="R26" s="210"/>
      <c r="S26" s="210">
        <v>18150441530</v>
      </c>
      <c r="T26" s="210"/>
      <c r="U26" s="6">
        <v>21164867477</v>
      </c>
      <c r="V26" s="25"/>
      <c r="W26" s="26">
        <f>U26/درآمدها!$J$5</f>
        <v>5.4068387861093458E-3</v>
      </c>
      <c r="X26" s="172"/>
      <c r="Y26" s="209"/>
      <c r="Z26" s="181"/>
    </row>
    <row r="27" spans="1:26">
      <c r="A27" s="117" t="s">
        <v>222</v>
      </c>
      <c r="C27" s="210">
        <v>469949</v>
      </c>
      <c r="D27" s="210"/>
      <c r="E27" s="210">
        <v>4415898966</v>
      </c>
      <c r="F27" s="210"/>
      <c r="G27" s="6">
        <v>5428315580</v>
      </c>
      <c r="H27" s="210"/>
      <c r="I27" s="210">
        <v>829718</v>
      </c>
      <c r="J27" s="210">
        <v>9995829646</v>
      </c>
      <c r="K27" s="25"/>
      <c r="L27" s="210">
        <v>8731</v>
      </c>
      <c r="M27" s="210">
        <v>87300735</v>
      </c>
      <c r="N27" s="210"/>
      <c r="O27" s="210">
        <v>1290936</v>
      </c>
      <c r="P27" s="210"/>
      <c r="Q27" s="254" t="s">
        <v>561</v>
      </c>
      <c r="R27" s="210"/>
      <c r="S27" s="210">
        <v>14324427877</v>
      </c>
      <c r="T27" s="210"/>
      <c r="U27" s="6">
        <v>14761281472</v>
      </c>
      <c r="V27" s="25"/>
      <c r="W27" s="26">
        <f>U27/درآمدها!$J$5</f>
        <v>3.7709600252502848E-3</v>
      </c>
      <c r="X27" s="172"/>
      <c r="Y27" s="209"/>
      <c r="Z27" s="181"/>
    </row>
    <row r="28" spans="1:26">
      <c r="A28" s="117" t="s">
        <v>113</v>
      </c>
      <c r="C28" s="210">
        <v>14550905</v>
      </c>
      <c r="D28" s="210"/>
      <c r="E28" s="210">
        <v>21537086904</v>
      </c>
      <c r="F28" s="210"/>
      <c r="G28" s="6">
        <v>25167929184</v>
      </c>
      <c r="H28" s="210"/>
      <c r="I28" s="210">
        <v>2028556</v>
      </c>
      <c r="J28" s="210">
        <v>3979044966</v>
      </c>
      <c r="K28" s="25"/>
      <c r="L28" s="210">
        <v>189372</v>
      </c>
      <c r="M28" s="210">
        <v>282459698</v>
      </c>
      <c r="N28" s="210"/>
      <c r="O28" s="210">
        <v>16390089</v>
      </c>
      <c r="P28" s="210"/>
      <c r="Q28" s="254" t="s">
        <v>562</v>
      </c>
      <c r="R28" s="210"/>
      <c r="S28" s="210">
        <v>25233672172</v>
      </c>
      <c r="T28" s="210"/>
      <c r="U28" s="6">
        <v>34279563014</v>
      </c>
      <c r="V28" s="25"/>
      <c r="W28" s="26">
        <f>U28/درآمدها!$J$5</f>
        <v>8.7571571651175791E-3</v>
      </c>
      <c r="X28" s="172"/>
      <c r="Y28" s="209"/>
      <c r="Z28" s="181"/>
    </row>
    <row r="29" spans="1:26">
      <c r="A29" s="117" t="s">
        <v>480</v>
      </c>
      <c r="C29" s="210">
        <v>1470271</v>
      </c>
      <c r="D29" s="115"/>
      <c r="E29" s="210">
        <v>7750141414</v>
      </c>
      <c r="F29" s="210"/>
      <c r="G29" s="6">
        <v>9061441906</v>
      </c>
      <c r="H29" s="210"/>
      <c r="I29" s="210">
        <v>555829</v>
      </c>
      <c r="J29" s="115">
        <v>3981459436</v>
      </c>
      <c r="K29" s="25"/>
      <c r="L29" s="210">
        <v>18763</v>
      </c>
      <c r="M29" s="115">
        <v>98904150</v>
      </c>
      <c r="N29" s="210"/>
      <c r="O29" s="210">
        <v>2007337</v>
      </c>
      <c r="P29" s="210"/>
      <c r="Q29" s="254" t="s">
        <v>563</v>
      </c>
      <c r="R29" s="210"/>
      <c r="S29" s="115">
        <v>11632696700</v>
      </c>
      <c r="T29" s="210"/>
      <c r="U29" s="141">
        <v>14187246687</v>
      </c>
      <c r="V29" s="25"/>
      <c r="W29" s="26">
        <f>U29/درآمدها!$J$5</f>
        <v>3.6243154245464643E-3</v>
      </c>
      <c r="X29" s="172"/>
      <c r="Y29" s="209"/>
      <c r="Z29" s="181"/>
    </row>
    <row r="30" spans="1:26">
      <c r="A30" s="117" t="s">
        <v>481</v>
      </c>
      <c r="C30" s="210">
        <v>167420</v>
      </c>
      <c r="D30" s="210"/>
      <c r="E30" s="210">
        <v>2486768886</v>
      </c>
      <c r="F30" s="210"/>
      <c r="G30" s="6">
        <v>2995629322</v>
      </c>
      <c r="H30" s="210"/>
      <c r="I30" s="210">
        <v>575531</v>
      </c>
      <c r="J30" s="210">
        <v>11956747057</v>
      </c>
      <c r="K30" s="25"/>
      <c r="L30" s="210">
        <v>2640</v>
      </c>
      <c r="M30" s="210">
        <v>39213176</v>
      </c>
      <c r="N30" s="210"/>
      <c r="O30" s="210">
        <v>740311</v>
      </c>
      <c r="P30" s="210"/>
      <c r="Q30" s="254" t="s">
        <v>564</v>
      </c>
      <c r="R30" s="210"/>
      <c r="S30" s="210">
        <v>14404302767</v>
      </c>
      <c r="T30" s="210"/>
      <c r="U30" s="6">
        <v>15785186911</v>
      </c>
      <c r="V30" s="25"/>
      <c r="W30" s="26">
        <f>U30/درآمدها!$J$5</f>
        <v>4.0325298955511324E-3</v>
      </c>
      <c r="X30" s="172"/>
      <c r="Y30" s="209"/>
      <c r="Z30" s="181"/>
    </row>
    <row r="31" spans="1:26">
      <c r="A31" s="117" t="s">
        <v>149</v>
      </c>
      <c r="C31" s="210">
        <v>4059702</v>
      </c>
      <c r="D31" s="210"/>
      <c r="E31" s="210">
        <v>7638744830</v>
      </c>
      <c r="F31" s="210"/>
      <c r="G31" s="6">
        <v>7332588491</v>
      </c>
      <c r="H31" s="210"/>
      <c r="I31" s="210">
        <v>4102395</v>
      </c>
      <c r="J31" s="210">
        <v>8486814082</v>
      </c>
      <c r="K31" s="25"/>
      <c r="L31" s="210">
        <v>59965</v>
      </c>
      <c r="M31" s="210">
        <v>113119616</v>
      </c>
      <c r="N31" s="210"/>
      <c r="O31" s="210">
        <v>8102132</v>
      </c>
      <c r="P31" s="210"/>
      <c r="Q31" s="254" t="s">
        <v>565</v>
      </c>
      <c r="R31" s="210"/>
      <c r="S31" s="210">
        <v>16012439296</v>
      </c>
      <c r="T31" s="210"/>
      <c r="U31" s="6">
        <v>17066265626</v>
      </c>
      <c r="V31" s="25"/>
      <c r="W31" s="26">
        <f>U31/درآمدها!$J$5</f>
        <v>4.3597980011439641E-3</v>
      </c>
      <c r="X31" s="172"/>
      <c r="Y31" s="209"/>
      <c r="Z31" s="181"/>
    </row>
    <row r="32" spans="1:26">
      <c r="A32" s="117" t="s">
        <v>92</v>
      </c>
      <c r="C32" s="210">
        <v>5521393</v>
      </c>
      <c r="D32" s="210"/>
      <c r="E32" s="210">
        <v>9887729774</v>
      </c>
      <c r="F32" s="210"/>
      <c r="G32" s="6">
        <v>9890350365</v>
      </c>
      <c r="H32" s="210"/>
      <c r="I32" s="210">
        <v>2154865</v>
      </c>
      <c r="J32" s="210">
        <v>4516471922</v>
      </c>
      <c r="K32" s="25"/>
      <c r="L32" s="210">
        <v>73472</v>
      </c>
      <c r="M32" s="210">
        <v>132683957</v>
      </c>
      <c r="N32" s="210"/>
      <c r="O32" s="210">
        <v>7602786</v>
      </c>
      <c r="P32" s="210"/>
      <c r="Q32" s="254" t="s">
        <v>566</v>
      </c>
      <c r="R32" s="210"/>
      <c r="S32" s="210">
        <v>14271517739</v>
      </c>
      <c r="T32" s="210"/>
      <c r="U32" s="6">
        <v>15870853791</v>
      </c>
      <c r="V32" s="25"/>
      <c r="W32" s="26">
        <f>U32/درآمدها!$J$5</f>
        <v>4.0544146066164074E-3</v>
      </c>
      <c r="X32" s="172"/>
      <c r="Y32" s="209"/>
      <c r="Z32" s="181"/>
    </row>
    <row r="33" spans="1:26">
      <c r="A33" s="117" t="s">
        <v>202</v>
      </c>
      <c r="C33" s="210">
        <v>2894540</v>
      </c>
      <c r="D33" s="210"/>
      <c r="E33" s="210">
        <v>9389413170</v>
      </c>
      <c r="F33" s="210"/>
      <c r="G33" s="6">
        <v>9040531548</v>
      </c>
      <c r="H33" s="210"/>
      <c r="I33" s="210">
        <v>1339084</v>
      </c>
      <c r="J33" s="210">
        <v>4973779602</v>
      </c>
      <c r="K33" s="25"/>
      <c r="L33" s="210">
        <v>40605</v>
      </c>
      <c r="M33" s="210">
        <v>132301360</v>
      </c>
      <c r="N33" s="210"/>
      <c r="O33" s="210">
        <v>4193019</v>
      </c>
      <c r="P33" s="210"/>
      <c r="Q33" s="254" t="s">
        <v>567</v>
      </c>
      <c r="R33" s="210"/>
      <c r="S33" s="210">
        <v>14230891412</v>
      </c>
      <c r="T33" s="210"/>
      <c r="U33" s="6">
        <v>15755306633</v>
      </c>
      <c r="V33" s="25"/>
      <c r="W33" s="26">
        <f>U33/درآمدها!$J$5</f>
        <v>4.0248965925689289E-3</v>
      </c>
      <c r="X33" s="172"/>
      <c r="Y33" s="209"/>
      <c r="Z33" s="181"/>
    </row>
    <row r="34" spans="1:26">
      <c r="A34" s="117" t="s">
        <v>443</v>
      </c>
      <c r="C34" s="210">
        <v>159284</v>
      </c>
      <c r="D34" s="210"/>
      <c r="E34" s="210">
        <v>370626311</v>
      </c>
      <c r="F34" s="210"/>
      <c r="G34" s="6">
        <v>304005624</v>
      </c>
      <c r="H34" s="210"/>
      <c r="I34" s="210">
        <v>0</v>
      </c>
      <c r="J34" s="210">
        <v>0</v>
      </c>
      <c r="K34" s="25"/>
      <c r="L34" s="210">
        <v>0</v>
      </c>
      <c r="M34" s="210">
        <v>0</v>
      </c>
      <c r="N34" s="210"/>
      <c r="O34" s="210">
        <v>159284</v>
      </c>
      <c r="P34" s="210"/>
      <c r="Q34" s="254" t="s">
        <v>477</v>
      </c>
      <c r="R34" s="210"/>
      <c r="S34" s="210">
        <v>370626311</v>
      </c>
      <c r="T34" s="210"/>
      <c r="U34" s="6">
        <v>304005624</v>
      </c>
      <c r="V34" s="25"/>
      <c r="W34" s="26">
        <f>U34/درآمدها!$J$5</f>
        <v>7.766216352759136E-5</v>
      </c>
      <c r="X34" s="172"/>
      <c r="Y34" s="209"/>
      <c r="Z34" s="181"/>
    </row>
    <row r="35" spans="1:26">
      <c r="A35" s="117" t="s">
        <v>111</v>
      </c>
      <c r="C35" s="210">
        <v>2197042</v>
      </c>
      <c r="D35" s="210"/>
      <c r="E35" s="210">
        <v>9594790687</v>
      </c>
      <c r="F35" s="210"/>
      <c r="G35" s="6">
        <v>9871542597</v>
      </c>
      <c r="H35" s="210"/>
      <c r="I35" s="210">
        <v>3424927</v>
      </c>
      <c r="J35" s="210">
        <v>7021072351</v>
      </c>
      <c r="K35" s="25"/>
      <c r="L35" s="210">
        <v>0</v>
      </c>
      <c r="M35" s="210">
        <v>0</v>
      </c>
      <c r="N35" s="210"/>
      <c r="O35" s="210">
        <v>5621969</v>
      </c>
      <c r="P35" s="210"/>
      <c r="Q35" s="254" t="s">
        <v>568</v>
      </c>
      <c r="R35" s="210"/>
      <c r="S35" s="210">
        <v>16615863038</v>
      </c>
      <c r="T35" s="210"/>
      <c r="U35" s="6">
        <v>19168617719</v>
      </c>
      <c r="V35" s="25"/>
      <c r="W35" s="26">
        <f>U35/درآمدها!$J$5</f>
        <v>4.8968709996327683E-3</v>
      </c>
      <c r="X35" s="172"/>
      <c r="Y35" s="209"/>
      <c r="Z35" s="181"/>
    </row>
    <row r="36" spans="1:26">
      <c r="A36" s="117" t="s">
        <v>275</v>
      </c>
      <c r="C36" s="210">
        <v>22379</v>
      </c>
      <c r="D36" s="210"/>
      <c r="E36" s="210">
        <v>2661768722</v>
      </c>
      <c r="F36" s="210"/>
      <c r="G36" s="6">
        <v>3479917530</v>
      </c>
      <c r="H36" s="210"/>
      <c r="I36" s="210">
        <v>223790</v>
      </c>
      <c r="J36" s="210">
        <v>0</v>
      </c>
      <c r="K36" s="25"/>
      <c r="L36" s="210">
        <v>0</v>
      </c>
      <c r="M36" s="210">
        <v>0</v>
      </c>
      <c r="N36" s="210"/>
      <c r="O36" s="210">
        <v>246169</v>
      </c>
      <c r="P36" s="210"/>
      <c r="Q36" s="254" t="s">
        <v>569</v>
      </c>
      <c r="R36" s="210"/>
      <c r="S36" s="210">
        <v>2661768722</v>
      </c>
      <c r="T36" s="210"/>
      <c r="U36" s="6">
        <v>3359122591</v>
      </c>
      <c r="V36" s="25"/>
      <c r="W36" s="26">
        <f>U36/درآمدها!$J$5</f>
        <v>8.5813125605685642E-4</v>
      </c>
      <c r="X36" s="172"/>
      <c r="Y36" s="209"/>
      <c r="Z36" s="181"/>
    </row>
    <row r="37" spans="1:26">
      <c r="A37" s="117" t="s">
        <v>108</v>
      </c>
      <c r="C37" s="210">
        <v>315471</v>
      </c>
      <c r="D37" s="210"/>
      <c r="E37" s="210">
        <v>9545643769</v>
      </c>
      <c r="F37" s="210"/>
      <c r="G37" s="6">
        <v>9363915279</v>
      </c>
      <c r="H37" s="210"/>
      <c r="I37" s="210">
        <v>121837</v>
      </c>
      <c r="J37" s="210">
        <v>4549238503</v>
      </c>
      <c r="K37" s="25"/>
      <c r="L37" s="210">
        <v>4000</v>
      </c>
      <c r="M37" s="210">
        <v>121033550</v>
      </c>
      <c r="N37" s="210"/>
      <c r="O37" s="210">
        <v>433308</v>
      </c>
      <c r="P37" s="210"/>
      <c r="Q37" s="254" t="s">
        <v>570</v>
      </c>
      <c r="R37" s="210"/>
      <c r="S37" s="210">
        <v>13973848722</v>
      </c>
      <c r="T37" s="210"/>
      <c r="U37" s="6">
        <v>18107881526</v>
      </c>
      <c r="V37" s="25"/>
      <c r="W37" s="26">
        <f>U37/درآمدها!$J$5</f>
        <v>4.6258922374753922E-3</v>
      </c>
      <c r="X37" s="172"/>
      <c r="Y37" s="209"/>
      <c r="Z37" s="181"/>
    </row>
    <row r="38" spans="1:26">
      <c r="A38" s="117" t="s">
        <v>116</v>
      </c>
      <c r="C38" s="210">
        <v>289522</v>
      </c>
      <c r="D38" s="210"/>
      <c r="E38" s="210">
        <v>1693499940</v>
      </c>
      <c r="F38" s="210"/>
      <c r="G38" s="6">
        <v>1591530376</v>
      </c>
      <c r="H38" s="210"/>
      <c r="I38" s="210">
        <v>163596</v>
      </c>
      <c r="J38" s="210">
        <v>983195903</v>
      </c>
      <c r="K38" s="25"/>
      <c r="L38" s="210">
        <v>6475</v>
      </c>
      <c r="M38" s="210">
        <v>38249651</v>
      </c>
      <c r="N38" s="210"/>
      <c r="O38" s="210">
        <v>446643</v>
      </c>
      <c r="P38" s="210"/>
      <c r="Q38" s="254" t="s">
        <v>571</v>
      </c>
      <c r="R38" s="210"/>
      <c r="S38" s="210">
        <v>2638446192</v>
      </c>
      <c r="T38" s="210"/>
      <c r="U38" s="6">
        <v>2872586022</v>
      </c>
      <c r="V38" s="25"/>
      <c r="W38" s="26">
        <f>U38/درآمدها!$J$5</f>
        <v>7.3383920485509558E-4</v>
      </c>
      <c r="X38" s="172"/>
      <c r="Y38" s="209"/>
      <c r="Z38" s="181"/>
    </row>
    <row r="39" spans="1:26">
      <c r="A39" s="117" t="s">
        <v>273</v>
      </c>
      <c r="C39" s="210">
        <v>1825017</v>
      </c>
      <c r="D39" s="210"/>
      <c r="E39" s="210">
        <v>4417683937</v>
      </c>
      <c r="F39" s="210"/>
      <c r="G39" s="6">
        <v>5188492309</v>
      </c>
      <c r="H39" s="210"/>
      <c r="I39" s="210">
        <v>3402017</v>
      </c>
      <c r="J39" s="210">
        <v>11892865437</v>
      </c>
      <c r="K39" s="25"/>
      <c r="L39" s="210">
        <v>24131</v>
      </c>
      <c r="M39" s="210">
        <v>58412130</v>
      </c>
      <c r="N39" s="210"/>
      <c r="O39" s="210">
        <v>5202903</v>
      </c>
      <c r="P39" s="210"/>
      <c r="Q39" s="254" t="s">
        <v>572</v>
      </c>
      <c r="R39" s="210"/>
      <c r="S39" s="210">
        <v>16252137244</v>
      </c>
      <c r="T39" s="210"/>
      <c r="U39" s="6">
        <v>19146543086</v>
      </c>
      <c r="V39" s="25"/>
      <c r="W39" s="26">
        <f>U39/درآمدها!$J$5</f>
        <v>4.8912317494922593E-3</v>
      </c>
      <c r="X39" s="172"/>
      <c r="Y39" s="209"/>
      <c r="Z39" s="181"/>
    </row>
    <row r="40" spans="1:26">
      <c r="A40" s="117" t="s">
        <v>257</v>
      </c>
      <c r="C40" s="210">
        <v>332040</v>
      </c>
      <c r="D40" s="210"/>
      <c r="E40" s="210">
        <v>533421301</v>
      </c>
      <c r="F40" s="210"/>
      <c r="G40" s="6">
        <v>629102676</v>
      </c>
      <c r="H40" s="210"/>
      <c r="I40" s="210">
        <v>0</v>
      </c>
      <c r="J40" s="210">
        <v>0</v>
      </c>
      <c r="K40" s="25"/>
      <c r="L40" s="210">
        <v>0</v>
      </c>
      <c r="M40" s="210">
        <v>0</v>
      </c>
      <c r="N40" s="210"/>
      <c r="O40" s="210">
        <v>332040</v>
      </c>
      <c r="P40" s="210"/>
      <c r="Q40" s="254" t="s">
        <v>573</v>
      </c>
      <c r="R40" s="210"/>
      <c r="S40" s="210">
        <v>533421301</v>
      </c>
      <c r="T40" s="210"/>
      <c r="U40" s="6">
        <v>726141600</v>
      </c>
      <c r="V40" s="25"/>
      <c r="W40" s="26">
        <f>U40/درآمدها!$J$5</f>
        <v>1.8550225137738518E-4</v>
      </c>
      <c r="X40" s="172"/>
      <c r="Y40" s="209"/>
      <c r="Z40" s="181"/>
    </row>
    <row r="41" spans="1:26">
      <c r="A41" s="117" t="s">
        <v>88</v>
      </c>
      <c r="C41" s="210">
        <v>6583656</v>
      </c>
      <c r="D41" s="210"/>
      <c r="E41" s="210">
        <v>47066994941</v>
      </c>
      <c r="F41" s="210"/>
      <c r="G41" s="6">
        <v>46989389715</v>
      </c>
      <c r="H41" s="210"/>
      <c r="I41" s="210">
        <v>7359624</v>
      </c>
      <c r="J41" s="210">
        <v>57096004651</v>
      </c>
      <c r="K41" s="25"/>
      <c r="L41" s="210">
        <v>89121</v>
      </c>
      <c r="M41" s="210">
        <v>641329355</v>
      </c>
      <c r="N41" s="210"/>
      <c r="O41" s="210">
        <v>13854159</v>
      </c>
      <c r="P41" s="210"/>
      <c r="Q41" s="254" t="s">
        <v>574</v>
      </c>
      <c r="R41" s="210"/>
      <c r="S41" s="210">
        <v>103521670237</v>
      </c>
      <c r="T41" s="210"/>
      <c r="U41" s="6">
        <v>109622944964</v>
      </c>
      <c r="V41" s="25"/>
      <c r="W41" s="26">
        <f>U41/درآمدها!$J$5</f>
        <v>2.8004597303668027E-2</v>
      </c>
      <c r="X41" s="172"/>
      <c r="Y41" s="209"/>
      <c r="Z41" s="181"/>
    </row>
    <row r="42" spans="1:26">
      <c r="A42" s="117" t="s">
        <v>183</v>
      </c>
      <c r="C42" s="210">
        <v>1238693</v>
      </c>
      <c r="D42" s="210"/>
      <c r="E42" s="210">
        <v>4234776885</v>
      </c>
      <c r="F42" s="210"/>
      <c r="G42" s="6">
        <v>4272690040</v>
      </c>
      <c r="H42" s="210"/>
      <c r="I42" s="210">
        <v>0</v>
      </c>
      <c r="J42" s="210">
        <v>0</v>
      </c>
      <c r="K42" s="25"/>
      <c r="L42" s="210">
        <v>1238693</v>
      </c>
      <c r="M42" s="210">
        <v>4234776885</v>
      </c>
      <c r="N42" s="210"/>
      <c r="O42" s="210">
        <v>0</v>
      </c>
      <c r="P42" s="210"/>
      <c r="Q42" s="254"/>
      <c r="R42" s="210"/>
      <c r="S42" s="210">
        <v>0</v>
      </c>
      <c r="T42" s="210"/>
      <c r="U42" s="6">
        <v>0</v>
      </c>
      <c r="V42" s="25"/>
      <c r="W42" s="26">
        <f>U42/درآمدها!$J$5</f>
        <v>0</v>
      </c>
      <c r="X42" s="172"/>
      <c r="Y42" s="209"/>
      <c r="Z42" s="181"/>
    </row>
    <row r="43" spans="1:26">
      <c r="A43" s="117" t="s">
        <v>188</v>
      </c>
      <c r="C43" s="210">
        <v>972665</v>
      </c>
      <c r="D43" s="210"/>
      <c r="E43" s="210">
        <v>38585777199</v>
      </c>
      <c r="F43" s="210"/>
      <c r="G43" s="6">
        <v>31906962230</v>
      </c>
      <c r="H43" s="210"/>
      <c r="I43" s="210">
        <v>742391</v>
      </c>
      <c r="J43" s="210">
        <v>28936184137</v>
      </c>
      <c r="K43" s="25"/>
      <c r="L43" s="210">
        <v>12561</v>
      </c>
      <c r="M43" s="210">
        <v>497348571</v>
      </c>
      <c r="N43" s="210"/>
      <c r="O43" s="210">
        <v>1702495</v>
      </c>
      <c r="P43" s="210"/>
      <c r="Q43" s="254" t="s">
        <v>575</v>
      </c>
      <c r="R43" s="210"/>
      <c r="S43" s="210">
        <v>67024612765</v>
      </c>
      <c r="T43" s="210"/>
      <c r="U43" s="6">
        <v>64309875884</v>
      </c>
      <c r="V43" s="25"/>
      <c r="W43" s="26">
        <f>U43/درآمدها!$J$5</f>
        <v>1.6428788492881014E-2</v>
      </c>
      <c r="X43" s="172"/>
      <c r="Y43" s="209"/>
      <c r="Z43" s="181"/>
    </row>
    <row r="44" spans="1:26">
      <c r="A44" s="117" t="s">
        <v>221</v>
      </c>
      <c r="C44" s="210">
        <v>226892</v>
      </c>
      <c r="D44" s="210"/>
      <c r="E44" s="210">
        <v>10679337222</v>
      </c>
      <c r="F44" s="210"/>
      <c r="G44" s="6">
        <v>8272880294</v>
      </c>
      <c r="H44" s="210"/>
      <c r="I44" s="210">
        <v>0</v>
      </c>
      <c r="J44" s="210">
        <v>0</v>
      </c>
      <c r="K44" s="25"/>
      <c r="L44" s="210">
        <v>2902</v>
      </c>
      <c r="M44" s="210">
        <v>136591139</v>
      </c>
      <c r="N44" s="210"/>
      <c r="O44" s="210">
        <v>223990</v>
      </c>
      <c r="P44" s="210"/>
      <c r="Q44" s="254" t="s">
        <v>576</v>
      </c>
      <c r="R44" s="210"/>
      <c r="S44" s="210">
        <v>10542746083</v>
      </c>
      <c r="T44" s="210"/>
      <c r="U44" s="6">
        <v>9146760223</v>
      </c>
      <c r="V44" s="25"/>
      <c r="W44" s="26">
        <f>U44/درآمدها!$J$5</f>
        <v>2.336658048754697E-3</v>
      </c>
      <c r="X44" s="172"/>
      <c r="Y44" s="209"/>
      <c r="Z44" s="181"/>
    </row>
    <row r="45" spans="1:26">
      <c r="A45" s="117" t="s">
        <v>126</v>
      </c>
      <c r="C45" s="210">
        <v>87967</v>
      </c>
      <c r="D45" s="210"/>
      <c r="E45" s="210">
        <v>6867197288</v>
      </c>
      <c r="F45" s="210"/>
      <c r="G45" s="6">
        <v>6542529882</v>
      </c>
      <c r="H45" s="210"/>
      <c r="I45" s="210">
        <v>0</v>
      </c>
      <c r="J45" s="210">
        <v>0</v>
      </c>
      <c r="K45" s="25"/>
      <c r="L45" s="210">
        <v>1202</v>
      </c>
      <c r="M45" s="210">
        <v>93834860</v>
      </c>
      <c r="N45" s="210"/>
      <c r="O45" s="210">
        <v>86765</v>
      </c>
      <c r="P45" s="210"/>
      <c r="Q45" s="254" t="s">
        <v>577</v>
      </c>
      <c r="R45" s="210"/>
      <c r="S45" s="210">
        <v>6773362428</v>
      </c>
      <c r="T45" s="210"/>
      <c r="U45" s="6">
        <v>6634253720</v>
      </c>
      <c r="V45" s="25"/>
      <c r="W45" s="26">
        <f>U45/درآمدها!$J$5</f>
        <v>1.6948058082181115E-3</v>
      </c>
      <c r="X45" s="172"/>
      <c r="Y45" s="209"/>
      <c r="Z45" s="181"/>
    </row>
    <row r="46" spans="1:26">
      <c r="A46" s="117" t="s">
        <v>186</v>
      </c>
      <c r="C46" s="210">
        <v>1397140</v>
      </c>
      <c r="D46" s="210"/>
      <c r="E46" s="210">
        <v>28771597387</v>
      </c>
      <c r="F46" s="210"/>
      <c r="G46" s="6">
        <v>24554461663</v>
      </c>
      <c r="H46" s="210"/>
      <c r="I46" s="210">
        <v>866286</v>
      </c>
      <c r="J46" s="210">
        <v>17473547124</v>
      </c>
      <c r="K46" s="25"/>
      <c r="L46" s="210">
        <v>20156</v>
      </c>
      <c r="M46" s="210">
        <v>410143114</v>
      </c>
      <c r="N46" s="210"/>
      <c r="O46" s="210">
        <v>2243270</v>
      </c>
      <c r="P46" s="210"/>
      <c r="Q46" s="254" t="s">
        <v>578</v>
      </c>
      <c r="R46" s="210"/>
      <c r="S46" s="210">
        <v>45835001397</v>
      </c>
      <c r="T46" s="210"/>
      <c r="U46" s="6">
        <v>46137097429</v>
      </c>
      <c r="V46" s="25"/>
      <c r="W46" s="26">
        <f>U46/درآمدها!$J$5</f>
        <v>1.1786317496611224E-2</v>
      </c>
      <c r="X46" s="172"/>
      <c r="Y46" s="209"/>
      <c r="Z46" s="181"/>
    </row>
    <row r="47" spans="1:26">
      <c r="A47" s="117" t="s">
        <v>181</v>
      </c>
      <c r="C47" s="210">
        <v>149864</v>
      </c>
      <c r="D47" s="210"/>
      <c r="E47" s="210">
        <v>2449574164</v>
      </c>
      <c r="F47" s="210"/>
      <c r="G47" s="6">
        <v>2478899227</v>
      </c>
      <c r="H47" s="210"/>
      <c r="I47" s="210">
        <v>0</v>
      </c>
      <c r="J47" s="210">
        <v>0</v>
      </c>
      <c r="K47" s="25"/>
      <c r="L47" s="210">
        <v>2141</v>
      </c>
      <c r="M47" s="210">
        <v>34995318</v>
      </c>
      <c r="N47" s="210"/>
      <c r="O47" s="210">
        <v>147723</v>
      </c>
      <c r="P47" s="210"/>
      <c r="Q47" s="254" t="s">
        <v>579</v>
      </c>
      <c r="R47" s="210"/>
      <c r="S47" s="210">
        <v>2414578846</v>
      </c>
      <c r="T47" s="210"/>
      <c r="U47" s="6">
        <v>2478727537</v>
      </c>
      <c r="V47" s="25"/>
      <c r="W47" s="26">
        <f>U47/درآمدها!$J$5</f>
        <v>6.3322296734496521E-4</v>
      </c>
      <c r="X47" s="172"/>
      <c r="Y47" s="209"/>
      <c r="Z47" s="181"/>
    </row>
    <row r="48" spans="1:26">
      <c r="A48" s="117" t="s">
        <v>482</v>
      </c>
      <c r="C48" s="210">
        <v>138643</v>
      </c>
      <c r="D48" s="210"/>
      <c r="E48" s="210">
        <v>552430636</v>
      </c>
      <c r="F48" s="210"/>
      <c r="G48" s="6">
        <v>735948519</v>
      </c>
      <c r="H48" s="210"/>
      <c r="I48" s="210">
        <v>0</v>
      </c>
      <c r="J48" s="210">
        <v>0</v>
      </c>
      <c r="K48" s="25"/>
      <c r="L48" s="210">
        <v>0</v>
      </c>
      <c r="M48" s="210">
        <v>0</v>
      </c>
      <c r="N48" s="210"/>
      <c r="O48" s="210">
        <v>138643</v>
      </c>
      <c r="P48" s="210"/>
      <c r="Q48" s="254" t="s">
        <v>580</v>
      </c>
      <c r="R48" s="210"/>
      <c r="S48" s="210">
        <v>552430636</v>
      </c>
      <c r="T48" s="210"/>
      <c r="U48" s="6">
        <v>667866392</v>
      </c>
      <c r="V48" s="25"/>
      <c r="W48" s="26">
        <f>U48/درآمدها!$J$5</f>
        <v>1.7061509674599454E-4</v>
      </c>
      <c r="X48" s="172"/>
      <c r="Y48" s="209"/>
      <c r="Z48" s="181"/>
    </row>
    <row r="49" spans="1:26">
      <c r="A49" s="117" t="s">
        <v>265</v>
      </c>
      <c r="C49" s="210">
        <v>51443</v>
      </c>
      <c r="D49" s="210"/>
      <c r="E49" s="210">
        <v>256420453</v>
      </c>
      <c r="F49" s="210"/>
      <c r="G49" s="6">
        <v>349776495</v>
      </c>
      <c r="H49" s="210"/>
      <c r="I49" s="210">
        <v>242490</v>
      </c>
      <c r="J49" s="210">
        <v>1970054450</v>
      </c>
      <c r="K49" s="25"/>
      <c r="L49" s="210">
        <v>1992</v>
      </c>
      <c r="M49" s="210">
        <v>9929233</v>
      </c>
      <c r="N49" s="210"/>
      <c r="O49" s="210">
        <v>291941</v>
      </c>
      <c r="P49" s="210"/>
      <c r="Q49" s="254" t="s">
        <v>581</v>
      </c>
      <c r="R49" s="210"/>
      <c r="S49" s="210">
        <v>2216545670</v>
      </c>
      <c r="T49" s="210"/>
      <c r="U49" s="6">
        <v>2373868324</v>
      </c>
      <c r="V49" s="25"/>
      <c r="W49" s="26">
        <f>U49/درآمدها!$J$5</f>
        <v>6.0643532690519313E-4</v>
      </c>
      <c r="X49" s="172"/>
      <c r="Y49" s="209"/>
      <c r="Z49" s="181"/>
    </row>
    <row r="50" spans="1:26">
      <c r="A50" s="117" t="s">
        <v>258</v>
      </c>
      <c r="C50" s="210">
        <v>199406</v>
      </c>
      <c r="D50" s="210"/>
      <c r="E50" s="210">
        <v>3343759212</v>
      </c>
      <c r="F50" s="210"/>
      <c r="G50" s="6">
        <v>4299381703</v>
      </c>
      <c r="H50" s="210"/>
      <c r="I50" s="210">
        <v>356605</v>
      </c>
      <c r="J50" s="210">
        <v>8453370431</v>
      </c>
      <c r="K50" s="25"/>
      <c r="L50" s="210">
        <v>2669</v>
      </c>
      <c r="M50" s="210">
        <v>44755390</v>
      </c>
      <c r="N50" s="210"/>
      <c r="O50" s="210">
        <v>553342</v>
      </c>
      <c r="P50" s="210"/>
      <c r="Q50" s="254" t="s">
        <v>582</v>
      </c>
      <c r="R50" s="210"/>
      <c r="S50" s="210">
        <v>11752374253</v>
      </c>
      <c r="T50" s="210"/>
      <c r="U50" s="6">
        <v>13091180841</v>
      </c>
      <c r="V50" s="25"/>
      <c r="W50" s="26">
        <f>U50/درآمدها!$J$5</f>
        <v>3.3443112461729097E-3</v>
      </c>
      <c r="X50" s="172"/>
      <c r="Y50" s="209"/>
      <c r="Z50" s="181"/>
    </row>
    <row r="51" spans="1:26">
      <c r="A51" s="117" t="s">
        <v>259</v>
      </c>
      <c r="C51" s="210">
        <v>578364</v>
      </c>
      <c r="D51" s="210"/>
      <c r="E51" s="210">
        <v>2515027601</v>
      </c>
      <c r="F51" s="210"/>
      <c r="G51" s="6">
        <v>4139443689</v>
      </c>
      <c r="H51" s="210"/>
      <c r="I51" s="210">
        <v>749117</v>
      </c>
      <c r="J51" s="210">
        <v>5970570089</v>
      </c>
      <c r="K51" s="25"/>
      <c r="L51" s="210">
        <v>8573</v>
      </c>
      <c r="M51" s="210">
        <v>37279865</v>
      </c>
      <c r="N51" s="210"/>
      <c r="O51" s="210">
        <v>1318908</v>
      </c>
      <c r="P51" s="210"/>
      <c r="Q51" s="254" t="s">
        <v>583</v>
      </c>
      <c r="R51" s="210"/>
      <c r="S51" s="210">
        <v>8448317825</v>
      </c>
      <c r="T51" s="210"/>
      <c r="U51" s="6">
        <v>10304935513</v>
      </c>
      <c r="V51" s="25"/>
      <c r="W51" s="26">
        <f>U51/درآمدها!$J$5</f>
        <v>2.6325288868731243E-3</v>
      </c>
      <c r="X51" s="172"/>
      <c r="Y51" s="209"/>
      <c r="Z51" s="181"/>
    </row>
    <row r="52" spans="1:26">
      <c r="A52" s="117" t="s">
        <v>225</v>
      </c>
      <c r="C52" s="210">
        <v>1726445</v>
      </c>
      <c r="D52" s="210"/>
      <c r="E52" s="210">
        <v>5011792128</v>
      </c>
      <c r="F52" s="210"/>
      <c r="G52" s="6">
        <v>5836703194</v>
      </c>
      <c r="H52" s="210"/>
      <c r="I52" s="210">
        <v>0</v>
      </c>
      <c r="J52" s="210">
        <v>0</v>
      </c>
      <c r="K52" s="25"/>
      <c r="L52" s="210">
        <v>23381</v>
      </c>
      <c r="M52" s="210">
        <v>67873991</v>
      </c>
      <c r="N52" s="210"/>
      <c r="O52" s="210">
        <v>1703064</v>
      </c>
      <c r="P52" s="210"/>
      <c r="Q52" s="254" t="s">
        <v>584</v>
      </c>
      <c r="R52" s="210"/>
      <c r="S52" s="210">
        <v>4943918137</v>
      </c>
      <c r="T52" s="210"/>
      <c r="U52" s="6">
        <v>7638503635</v>
      </c>
      <c r="V52" s="25"/>
      <c r="W52" s="26">
        <f>U52/درآمدها!$J$5</f>
        <v>1.9513544210204186E-3</v>
      </c>
      <c r="X52" s="172"/>
      <c r="Y52" s="209"/>
      <c r="Z52" s="181"/>
    </row>
    <row r="53" spans="1:26">
      <c r="A53" s="117" t="s">
        <v>210</v>
      </c>
      <c r="C53" s="210">
        <v>388545</v>
      </c>
      <c r="D53" s="210"/>
      <c r="E53" s="210">
        <v>6699106558</v>
      </c>
      <c r="F53" s="210"/>
      <c r="G53" s="6">
        <v>7338429991</v>
      </c>
      <c r="H53" s="210"/>
      <c r="I53" s="210">
        <v>72829</v>
      </c>
      <c r="J53" s="210">
        <v>1515101245</v>
      </c>
      <c r="K53" s="25"/>
      <c r="L53" s="210">
        <v>5258</v>
      </c>
      <c r="M53" s="210">
        <v>90655914</v>
      </c>
      <c r="N53" s="210"/>
      <c r="O53" s="210">
        <v>456116</v>
      </c>
      <c r="P53" s="210"/>
      <c r="Q53" s="254" t="s">
        <v>585</v>
      </c>
      <c r="R53" s="210"/>
      <c r="S53" s="210">
        <v>8123551889</v>
      </c>
      <c r="T53" s="210"/>
      <c r="U53" s="6">
        <v>10627745458</v>
      </c>
      <c r="V53" s="25"/>
      <c r="W53" s="26">
        <f>U53/درآمدها!$J$5</f>
        <v>2.714994857097816E-3</v>
      </c>
      <c r="X53" s="172"/>
      <c r="Y53" s="209"/>
      <c r="Z53" s="181"/>
    </row>
    <row r="54" spans="1:26">
      <c r="A54" s="117" t="s">
        <v>146</v>
      </c>
      <c r="C54" s="210">
        <v>3420533</v>
      </c>
      <c r="D54" s="210"/>
      <c r="E54" s="210">
        <v>8903497756</v>
      </c>
      <c r="F54" s="210"/>
      <c r="G54" s="6">
        <v>9894526214</v>
      </c>
      <c r="H54" s="210"/>
      <c r="I54" s="210">
        <v>5139049</v>
      </c>
      <c r="J54" s="210">
        <v>16450672954</v>
      </c>
      <c r="K54" s="25"/>
      <c r="L54" s="210">
        <v>43434</v>
      </c>
      <c r="M54" s="210">
        <v>113056802</v>
      </c>
      <c r="N54" s="210"/>
      <c r="O54" s="210">
        <v>8516148</v>
      </c>
      <c r="P54" s="210"/>
      <c r="Q54" s="254" t="s">
        <v>586</v>
      </c>
      <c r="R54" s="210"/>
      <c r="S54" s="210">
        <v>25241113908</v>
      </c>
      <c r="T54" s="210"/>
      <c r="U54" s="6">
        <v>28418606021</v>
      </c>
      <c r="V54" s="25"/>
      <c r="W54" s="26">
        <f>U54/درآمدها!$J$5</f>
        <v>7.2598999945773851E-3</v>
      </c>
      <c r="X54" s="172"/>
      <c r="Y54" s="209"/>
      <c r="Z54" s="181"/>
    </row>
    <row r="55" spans="1:26">
      <c r="A55" s="8" t="s">
        <v>200</v>
      </c>
      <c r="B55" s="114"/>
      <c r="C55" s="210">
        <v>3889810</v>
      </c>
      <c r="D55" s="212">
        <f>SUM(D52:D52)</f>
        <v>0</v>
      </c>
      <c r="E55" s="212">
        <v>14418563361</v>
      </c>
      <c r="F55" s="210"/>
      <c r="G55" s="147">
        <v>12984263191.99999</v>
      </c>
      <c r="H55" s="210"/>
      <c r="I55" s="210">
        <v>684150</v>
      </c>
      <c r="J55" s="212">
        <v>0</v>
      </c>
      <c r="K55" s="210"/>
      <c r="L55" s="210">
        <v>684150</v>
      </c>
      <c r="M55" s="212">
        <v>0</v>
      </c>
      <c r="N55" s="210"/>
      <c r="O55" s="210">
        <v>3889810</v>
      </c>
      <c r="P55" s="210"/>
      <c r="Q55" s="254" t="s">
        <v>520</v>
      </c>
      <c r="R55" s="210"/>
      <c r="S55" s="212">
        <v>14418563361</v>
      </c>
      <c r="T55" s="210"/>
      <c r="U55" s="147">
        <v>12984263192</v>
      </c>
      <c r="V55" s="126"/>
      <c r="W55" s="26">
        <f>U55/درآمدها!$J$5</f>
        <v>3.3169977516678754E-3</v>
      </c>
      <c r="X55" s="172"/>
      <c r="Y55" s="209"/>
      <c r="Z55" s="181"/>
    </row>
    <row r="56" spans="1:26">
      <c r="A56" s="117" t="s">
        <v>155</v>
      </c>
      <c r="C56" s="210">
        <v>3042508</v>
      </c>
      <c r="D56" s="210"/>
      <c r="E56" s="210">
        <v>15746782348</v>
      </c>
      <c r="F56" s="210"/>
      <c r="G56" s="6">
        <v>15403295064</v>
      </c>
      <c r="H56" s="210"/>
      <c r="I56" s="210">
        <v>2507441</v>
      </c>
      <c r="J56" s="210">
        <v>14106935490</v>
      </c>
      <c r="K56" s="25"/>
      <c r="L56" s="210">
        <v>38341</v>
      </c>
      <c r="M56" s="210">
        <v>198531396</v>
      </c>
      <c r="N56" s="210"/>
      <c r="O56" s="210">
        <v>5511608</v>
      </c>
      <c r="P56" s="210"/>
      <c r="Q56" s="254" t="s">
        <v>587</v>
      </c>
      <c r="R56" s="210"/>
      <c r="S56" s="210">
        <v>29655186442</v>
      </c>
      <c r="T56" s="210"/>
      <c r="U56" s="6">
        <v>30900510581</v>
      </c>
      <c r="V56" s="25"/>
      <c r="W56" s="26">
        <f>U56/درآمدها!$J$5</f>
        <v>7.8939345734856843E-3</v>
      </c>
      <c r="X56" s="172"/>
      <c r="Y56" s="209"/>
      <c r="Z56" s="181"/>
    </row>
    <row r="57" spans="1:26">
      <c r="A57" s="117" t="s">
        <v>93</v>
      </c>
      <c r="C57" s="210">
        <v>840022</v>
      </c>
      <c r="D57" s="210"/>
      <c r="E57" s="210">
        <v>15776233040</v>
      </c>
      <c r="F57" s="210"/>
      <c r="G57" s="6">
        <v>20374582408</v>
      </c>
      <c r="H57" s="210"/>
      <c r="I57" s="210">
        <v>261280</v>
      </c>
      <c r="J57" s="210">
        <v>7484481166</v>
      </c>
      <c r="K57" s="25"/>
      <c r="L57" s="210">
        <v>10584</v>
      </c>
      <c r="M57" s="210">
        <v>198775330</v>
      </c>
      <c r="N57" s="210"/>
      <c r="O57" s="210">
        <v>1090718</v>
      </c>
      <c r="P57" s="210"/>
      <c r="Q57" s="254" t="s">
        <v>588</v>
      </c>
      <c r="R57" s="210"/>
      <c r="S57" s="210">
        <v>23061938876</v>
      </c>
      <c r="T57" s="210"/>
      <c r="U57" s="6">
        <v>30846293088</v>
      </c>
      <c r="V57" s="25"/>
      <c r="W57" s="26">
        <f>U57/درآمدها!$J$5</f>
        <v>7.8800840145650305E-3</v>
      </c>
      <c r="X57" s="172"/>
      <c r="Y57" s="209"/>
      <c r="Z57" s="181"/>
    </row>
    <row r="58" spans="1:26">
      <c r="A58" s="117" t="s">
        <v>216</v>
      </c>
      <c r="C58" s="210">
        <v>2000774</v>
      </c>
      <c r="D58" s="210"/>
      <c r="E58" s="210">
        <v>36105723045</v>
      </c>
      <c r="F58" s="210"/>
      <c r="G58" s="6">
        <v>28957938389</v>
      </c>
      <c r="H58" s="210"/>
      <c r="I58" s="210">
        <v>1785563</v>
      </c>
      <c r="J58" s="210">
        <v>30978473564</v>
      </c>
      <c r="K58" s="25"/>
      <c r="L58" s="210">
        <v>29432</v>
      </c>
      <c r="M58" s="210">
        <v>523561084</v>
      </c>
      <c r="N58" s="210"/>
      <c r="O58" s="210">
        <v>3756905</v>
      </c>
      <c r="P58" s="210"/>
      <c r="Q58" s="254" t="s">
        <v>589</v>
      </c>
      <c r="R58" s="210"/>
      <c r="S58" s="210">
        <v>66560635525</v>
      </c>
      <c r="T58" s="210"/>
      <c r="U58" s="6">
        <v>65093231171</v>
      </c>
      <c r="V58" s="25"/>
      <c r="W58" s="26">
        <f>U58/درآمدها!$J$5</f>
        <v>1.6628906719638546E-2</v>
      </c>
      <c r="X58" s="172"/>
      <c r="Y58" s="209"/>
      <c r="Z58" s="181"/>
    </row>
    <row r="59" spans="1:26">
      <c r="A59" s="117" t="s">
        <v>226</v>
      </c>
      <c r="C59" s="210">
        <v>14156334</v>
      </c>
      <c r="D59" s="210"/>
      <c r="E59" s="210">
        <v>21442441762</v>
      </c>
      <c r="F59" s="210"/>
      <c r="G59" s="6">
        <v>21938409848</v>
      </c>
      <c r="H59" s="210"/>
      <c r="I59" s="210">
        <v>4544105</v>
      </c>
      <c r="J59" s="210">
        <v>7963447573</v>
      </c>
      <c r="K59" s="25"/>
      <c r="L59" s="210">
        <v>178297</v>
      </c>
      <c r="M59" s="210">
        <v>270064484</v>
      </c>
      <c r="N59" s="210"/>
      <c r="O59" s="210">
        <v>18522142</v>
      </c>
      <c r="P59" s="210"/>
      <c r="Q59" s="254" t="s">
        <v>590</v>
      </c>
      <c r="R59" s="210"/>
      <c r="S59" s="210">
        <v>29135824851</v>
      </c>
      <c r="T59" s="210"/>
      <c r="U59" s="6">
        <v>34872205376</v>
      </c>
      <c r="V59" s="25"/>
      <c r="W59" s="26">
        <f>U59/درآمدها!$J$5</f>
        <v>8.908555311722334E-3</v>
      </c>
      <c r="X59" s="172"/>
      <c r="Y59" s="209"/>
      <c r="Z59" s="181"/>
    </row>
    <row r="60" spans="1:26">
      <c r="A60" s="117" t="s">
        <v>483</v>
      </c>
      <c r="C60" s="210">
        <v>211977</v>
      </c>
      <c r="D60" s="210"/>
      <c r="E60" s="210">
        <v>4979022064</v>
      </c>
      <c r="F60" s="210"/>
      <c r="G60" s="6">
        <v>5280536368</v>
      </c>
      <c r="H60" s="210"/>
      <c r="I60" s="210">
        <v>112442</v>
      </c>
      <c r="J60" s="210">
        <v>3011971290</v>
      </c>
      <c r="K60" s="25"/>
      <c r="L60" s="210">
        <v>3922</v>
      </c>
      <c r="M60" s="210">
        <v>94379543</v>
      </c>
      <c r="N60" s="210"/>
      <c r="O60" s="210">
        <v>320497</v>
      </c>
      <c r="P60" s="210"/>
      <c r="Q60" s="254" t="s">
        <v>591</v>
      </c>
      <c r="R60" s="210"/>
      <c r="S60" s="210">
        <v>7896613811</v>
      </c>
      <c r="T60" s="210"/>
      <c r="U60" s="6">
        <v>10115233865</v>
      </c>
      <c r="V60" s="25"/>
      <c r="W60" s="26">
        <f>U60/درآمدها!$J$5</f>
        <v>2.5840671504927817E-3</v>
      </c>
      <c r="X60" s="172"/>
      <c r="Y60" s="209"/>
      <c r="Z60" s="181"/>
    </row>
    <row r="61" spans="1:26">
      <c r="A61" s="117" t="s">
        <v>130</v>
      </c>
      <c r="C61" s="210">
        <v>158036</v>
      </c>
      <c r="D61" s="210"/>
      <c r="E61" s="210">
        <v>2502148754</v>
      </c>
      <c r="F61" s="210"/>
      <c r="G61" s="6">
        <v>1756329770</v>
      </c>
      <c r="H61" s="210"/>
      <c r="I61" s="210">
        <v>259228</v>
      </c>
      <c r="J61" s="210">
        <v>3011371139</v>
      </c>
      <c r="K61" s="25"/>
      <c r="L61" s="210">
        <v>5984</v>
      </c>
      <c r="M61" s="210">
        <v>79069613</v>
      </c>
      <c r="N61" s="210"/>
      <c r="O61" s="210">
        <v>411280</v>
      </c>
      <c r="P61" s="210"/>
      <c r="Q61" s="254" t="s">
        <v>592</v>
      </c>
      <c r="R61" s="210"/>
      <c r="S61" s="210">
        <v>5434450280</v>
      </c>
      <c r="T61" s="210"/>
      <c r="U61" s="6">
        <v>4979584531</v>
      </c>
      <c r="V61" s="25"/>
      <c r="W61" s="26">
        <f>U61/درآمدها!$J$5</f>
        <v>1.2720991903294077E-3</v>
      </c>
      <c r="X61" s="172"/>
      <c r="Y61" s="209"/>
      <c r="Z61" s="181"/>
    </row>
    <row r="62" spans="1:26">
      <c r="A62" s="117" t="s">
        <v>484</v>
      </c>
      <c r="C62" s="210">
        <v>2528682</v>
      </c>
      <c r="D62" s="210"/>
      <c r="E62" s="210">
        <v>4534597671</v>
      </c>
      <c r="F62" s="210"/>
      <c r="G62" s="6">
        <v>4826181779</v>
      </c>
      <c r="H62" s="210"/>
      <c r="I62" s="210">
        <v>1964244</v>
      </c>
      <c r="J62" s="210">
        <v>4989552382</v>
      </c>
      <c r="K62" s="25"/>
      <c r="L62" s="210">
        <v>41457</v>
      </c>
      <c r="M62" s="210">
        <v>77063731</v>
      </c>
      <c r="N62" s="210"/>
      <c r="O62" s="210">
        <v>4451469</v>
      </c>
      <c r="P62" s="210"/>
      <c r="Q62" s="254" t="s">
        <v>593</v>
      </c>
      <c r="R62" s="210"/>
      <c r="S62" s="210">
        <v>9447086322</v>
      </c>
      <c r="T62" s="210"/>
      <c r="U62" s="6">
        <v>11589029852</v>
      </c>
      <c r="V62" s="25"/>
      <c r="W62" s="26">
        <f>U62/درآمدها!$J$5</f>
        <v>2.9605673725699297E-3</v>
      </c>
      <c r="X62" s="172"/>
      <c r="Y62" s="209"/>
      <c r="Z62" s="181"/>
    </row>
    <row r="63" spans="1:26">
      <c r="A63" s="117" t="s">
        <v>103</v>
      </c>
      <c r="C63" s="210">
        <v>5911935</v>
      </c>
      <c r="D63" s="210"/>
      <c r="E63" s="210">
        <v>22843177491</v>
      </c>
      <c r="F63" s="210"/>
      <c r="G63" s="6">
        <v>24694141266</v>
      </c>
      <c r="H63" s="210"/>
      <c r="I63" s="210">
        <v>2788378</v>
      </c>
      <c r="J63" s="210">
        <v>12655181379</v>
      </c>
      <c r="K63" s="25"/>
      <c r="L63" s="210">
        <v>77714</v>
      </c>
      <c r="M63" s="210">
        <v>301297920</v>
      </c>
      <c r="N63" s="210"/>
      <c r="O63" s="210">
        <v>8622599</v>
      </c>
      <c r="P63" s="210"/>
      <c r="Q63" s="254" t="s">
        <v>594</v>
      </c>
      <c r="R63" s="210"/>
      <c r="S63" s="210">
        <v>35197060950</v>
      </c>
      <c r="T63" s="210"/>
      <c r="U63" s="6">
        <v>39342241924</v>
      </c>
      <c r="V63" s="25"/>
      <c r="W63" s="26">
        <f>U63/درآمدها!$J$5</f>
        <v>1.0050483887902511E-2</v>
      </c>
      <c r="X63" s="172"/>
      <c r="Y63" s="209"/>
      <c r="Z63" s="181"/>
    </row>
    <row r="64" spans="1:26">
      <c r="A64" s="117" t="s">
        <v>441</v>
      </c>
      <c r="C64" s="210">
        <v>334332</v>
      </c>
      <c r="D64" s="210"/>
      <c r="E64" s="210">
        <v>2078841193</v>
      </c>
      <c r="F64" s="210"/>
      <c r="G64" s="6">
        <v>2033937478</v>
      </c>
      <c r="H64" s="210"/>
      <c r="I64" s="210">
        <v>1798830</v>
      </c>
      <c r="J64" s="210">
        <v>12462380581</v>
      </c>
      <c r="K64" s="25"/>
      <c r="L64" s="210">
        <v>13292</v>
      </c>
      <c r="M64" s="210">
        <v>84739445</v>
      </c>
      <c r="N64" s="210"/>
      <c r="O64" s="210">
        <v>2119870</v>
      </c>
      <c r="P64" s="210"/>
      <c r="Q64" s="254" t="s">
        <v>595</v>
      </c>
      <c r="R64" s="210"/>
      <c r="S64" s="210">
        <v>14456482329</v>
      </c>
      <c r="T64" s="210"/>
      <c r="U64" s="6">
        <v>16099441752</v>
      </c>
      <c r="V64" s="25"/>
      <c r="W64" s="26">
        <f>U64/درآمدها!$J$5</f>
        <v>4.1128103539517288E-3</v>
      </c>
      <c r="X64" s="172"/>
      <c r="Y64" s="209"/>
      <c r="Z64" s="181"/>
    </row>
    <row r="65" spans="1:26">
      <c r="A65" s="117" t="s">
        <v>132</v>
      </c>
      <c r="C65" s="210">
        <v>671710</v>
      </c>
      <c r="D65" s="210"/>
      <c r="E65" s="210">
        <v>9079383462</v>
      </c>
      <c r="F65" s="210"/>
      <c r="G65" s="6">
        <v>8713658902</v>
      </c>
      <c r="H65" s="210"/>
      <c r="I65" s="210">
        <v>395124</v>
      </c>
      <c r="J65" s="210">
        <v>5988589331</v>
      </c>
      <c r="K65" s="25"/>
      <c r="L65" s="210">
        <v>10290</v>
      </c>
      <c r="M65" s="210">
        <v>139692351</v>
      </c>
      <c r="N65" s="210"/>
      <c r="O65" s="210">
        <v>1056544</v>
      </c>
      <c r="P65" s="210"/>
      <c r="Q65" s="254" t="s">
        <v>596</v>
      </c>
      <c r="R65" s="210"/>
      <c r="S65" s="210">
        <v>14928280442</v>
      </c>
      <c r="T65" s="210"/>
      <c r="U65" s="6">
        <v>16426028292</v>
      </c>
      <c r="V65" s="25"/>
      <c r="W65" s="26">
        <f>U65/درآمدها!$J$5</f>
        <v>4.1962411041518962E-3</v>
      </c>
      <c r="X65" s="172"/>
      <c r="Y65" s="209"/>
      <c r="Z65" s="181"/>
    </row>
    <row r="66" spans="1:26">
      <c r="A66" s="117" t="s">
        <v>147</v>
      </c>
      <c r="C66" s="210">
        <v>2069208</v>
      </c>
      <c r="D66" s="210"/>
      <c r="E66" s="210">
        <v>8119025526</v>
      </c>
      <c r="F66" s="210"/>
      <c r="G66" s="6">
        <v>8741808905</v>
      </c>
      <c r="H66" s="210"/>
      <c r="I66" s="210">
        <v>2454055</v>
      </c>
      <c r="J66" s="210">
        <v>10975481686</v>
      </c>
      <c r="K66" s="25"/>
      <c r="L66" s="210">
        <v>32034</v>
      </c>
      <c r="M66" s="210">
        <v>128341181</v>
      </c>
      <c r="N66" s="210"/>
      <c r="O66" s="210">
        <v>4491229</v>
      </c>
      <c r="P66" s="210"/>
      <c r="Q66" s="254" t="s">
        <v>597</v>
      </c>
      <c r="R66" s="210"/>
      <c r="S66" s="210">
        <v>18966166031</v>
      </c>
      <c r="T66" s="210"/>
      <c r="U66" s="6">
        <v>20684057171</v>
      </c>
      <c r="V66" s="25"/>
      <c r="W66" s="26">
        <f>U66/درآمدها!$J$5</f>
        <v>5.2840095827577545E-3</v>
      </c>
      <c r="X66" s="172"/>
      <c r="Y66" s="209"/>
      <c r="Z66" s="181"/>
    </row>
    <row r="67" spans="1:26">
      <c r="A67" s="117" t="s">
        <v>539</v>
      </c>
      <c r="C67" s="210">
        <v>0</v>
      </c>
      <c r="D67" s="210"/>
      <c r="E67" s="210">
        <v>0</v>
      </c>
      <c r="F67" s="210"/>
      <c r="G67" s="6">
        <v>0</v>
      </c>
      <c r="H67" s="210"/>
      <c r="I67" s="210">
        <v>3838006</v>
      </c>
      <c r="J67" s="210">
        <v>9974522303</v>
      </c>
      <c r="K67" s="25"/>
      <c r="L67" s="210">
        <v>16754</v>
      </c>
      <c r="M67" s="210">
        <v>42328512</v>
      </c>
      <c r="N67" s="210"/>
      <c r="O67" s="210">
        <v>3821252</v>
      </c>
      <c r="P67" s="210"/>
      <c r="Q67" s="254" t="s">
        <v>598</v>
      </c>
      <c r="R67" s="210"/>
      <c r="S67" s="210">
        <v>9932193791</v>
      </c>
      <c r="T67" s="210"/>
      <c r="U67" s="6">
        <v>10491499955</v>
      </c>
      <c r="V67" s="25"/>
      <c r="W67" s="26">
        <f>U67/درآمدها!$J$5</f>
        <v>2.6801891834571045E-3</v>
      </c>
      <c r="X67" s="172"/>
      <c r="Y67" s="209"/>
      <c r="Z67" s="181"/>
    </row>
    <row r="68" spans="1:26">
      <c r="A68" s="117" t="s">
        <v>185</v>
      </c>
      <c r="C68" s="210">
        <v>418840</v>
      </c>
      <c r="D68" s="210"/>
      <c r="E68" s="210">
        <v>8524088563</v>
      </c>
      <c r="F68" s="210"/>
      <c r="G68" s="6">
        <v>8181236276</v>
      </c>
      <c r="H68" s="210"/>
      <c r="I68" s="210">
        <v>333228</v>
      </c>
      <c r="J68" s="210">
        <v>7890679324</v>
      </c>
      <c r="K68" s="25"/>
      <c r="L68" s="210">
        <v>6284</v>
      </c>
      <c r="M68" s="210">
        <v>128635531</v>
      </c>
      <c r="N68" s="210"/>
      <c r="O68" s="210">
        <v>745784</v>
      </c>
      <c r="P68" s="210"/>
      <c r="Q68" s="254" t="s">
        <v>599</v>
      </c>
      <c r="R68" s="210"/>
      <c r="S68" s="210">
        <v>16286132356</v>
      </c>
      <c r="T68" s="210"/>
      <c r="U68" s="6">
        <v>18214885602</v>
      </c>
      <c r="V68" s="25"/>
      <c r="W68" s="26">
        <f>U68/درآمدها!$J$5</f>
        <v>4.6532278108739646E-3</v>
      </c>
      <c r="X68" s="172"/>
      <c r="Y68" s="209"/>
      <c r="Z68" s="181"/>
    </row>
    <row r="69" spans="1:26">
      <c r="A69" s="117" t="s">
        <v>128</v>
      </c>
      <c r="C69" s="210">
        <v>3021411</v>
      </c>
      <c r="D69" s="210"/>
      <c r="E69" s="210">
        <v>6431390047</v>
      </c>
      <c r="F69" s="210"/>
      <c r="G69" s="6">
        <v>8646885349.9999886</v>
      </c>
      <c r="H69" s="210"/>
      <c r="I69" s="210">
        <v>1909980</v>
      </c>
      <c r="J69" s="210">
        <v>3952000888</v>
      </c>
      <c r="K69" s="25"/>
      <c r="L69" s="210">
        <v>916554</v>
      </c>
      <c r="M69" s="210">
        <v>81878913</v>
      </c>
      <c r="N69" s="210"/>
      <c r="O69" s="210">
        <v>4014837</v>
      </c>
      <c r="P69" s="210"/>
      <c r="Q69" s="254" t="s">
        <v>600</v>
      </c>
      <c r="R69" s="210"/>
      <c r="S69" s="210">
        <v>10301512022</v>
      </c>
      <c r="T69" s="210"/>
      <c r="U69" s="6">
        <v>14686691291</v>
      </c>
      <c r="V69" s="25"/>
      <c r="W69" s="26">
        <f>U69/درآمدها!$J$5</f>
        <v>3.7519050000235981E-3</v>
      </c>
      <c r="X69" s="172"/>
      <c r="Y69" s="209"/>
      <c r="Z69" s="181"/>
    </row>
    <row r="70" spans="1:26">
      <c r="A70" s="117" t="s">
        <v>176</v>
      </c>
      <c r="C70" s="210">
        <v>777059</v>
      </c>
      <c r="D70" s="210"/>
      <c r="E70" s="210">
        <v>8278634132</v>
      </c>
      <c r="F70" s="210"/>
      <c r="G70" s="6">
        <v>8226438067</v>
      </c>
      <c r="H70" s="210"/>
      <c r="I70" s="210">
        <v>240017</v>
      </c>
      <c r="J70" s="210">
        <v>2998037488</v>
      </c>
      <c r="K70" s="25"/>
      <c r="L70" s="210">
        <v>11927</v>
      </c>
      <c r="M70" s="210">
        <v>129880063</v>
      </c>
      <c r="N70" s="210"/>
      <c r="O70" s="210">
        <v>1005149</v>
      </c>
      <c r="P70" s="210"/>
      <c r="Q70" s="254" t="s">
        <v>521</v>
      </c>
      <c r="R70" s="210"/>
      <c r="S70" s="210">
        <v>11146791557</v>
      </c>
      <c r="T70" s="210"/>
      <c r="U70" s="6">
        <v>13888440254</v>
      </c>
      <c r="V70" s="25"/>
      <c r="W70" s="26">
        <f>U70/درآمدها!$J$5</f>
        <v>3.5479814615183916E-3</v>
      </c>
      <c r="X70" s="172"/>
      <c r="Y70" s="209"/>
      <c r="Z70" s="181"/>
    </row>
    <row r="71" spans="1:26">
      <c r="A71" s="117" t="s">
        <v>179</v>
      </c>
      <c r="C71" s="210">
        <v>1244317</v>
      </c>
      <c r="D71" s="210"/>
      <c r="E71" s="260">
        <v>10398634892</v>
      </c>
      <c r="F71" s="210"/>
      <c r="G71" s="6">
        <v>14410040111</v>
      </c>
      <c r="H71" s="210"/>
      <c r="I71" s="210">
        <v>0</v>
      </c>
      <c r="J71" s="210">
        <v>0</v>
      </c>
      <c r="K71" s="25"/>
      <c r="L71" s="210">
        <v>15894</v>
      </c>
      <c r="M71" s="210">
        <v>132824596</v>
      </c>
      <c r="N71" s="210"/>
      <c r="O71" s="210">
        <v>1228423</v>
      </c>
      <c r="P71" s="210"/>
      <c r="Q71" s="254" t="s">
        <v>601</v>
      </c>
      <c r="R71" s="210"/>
      <c r="S71" s="210">
        <v>10265810296</v>
      </c>
      <c r="T71" s="210"/>
      <c r="U71" s="6">
        <v>17681729032</v>
      </c>
      <c r="V71" s="25"/>
      <c r="W71" s="26">
        <f>U71/درآمدها!$J$5</f>
        <v>4.5170260782206578E-3</v>
      </c>
      <c r="X71" s="172"/>
      <c r="Y71" s="209"/>
      <c r="Z71" s="181"/>
    </row>
    <row r="72" spans="1:26">
      <c r="A72" s="117" t="s">
        <v>144</v>
      </c>
      <c r="C72" s="210">
        <v>244279</v>
      </c>
      <c r="D72" s="210"/>
      <c r="E72" s="210">
        <v>3069273712</v>
      </c>
      <c r="F72" s="210"/>
      <c r="G72" s="6">
        <v>4004193158</v>
      </c>
      <c r="H72" s="210"/>
      <c r="I72" s="210">
        <v>0</v>
      </c>
      <c r="J72" s="210">
        <v>0</v>
      </c>
      <c r="K72" s="25"/>
      <c r="L72" s="210">
        <v>3561</v>
      </c>
      <c r="M72" s="210">
        <v>44742625</v>
      </c>
      <c r="N72" s="210"/>
      <c r="O72" s="210">
        <v>240718</v>
      </c>
      <c r="P72" s="210"/>
      <c r="Q72" s="254" t="s">
        <v>525</v>
      </c>
      <c r="R72" s="210"/>
      <c r="S72" s="210">
        <v>3024531087</v>
      </c>
      <c r="T72" s="210"/>
      <c r="U72" s="6">
        <v>4857500279</v>
      </c>
      <c r="V72" s="25"/>
      <c r="W72" s="26">
        <f>U72/درآمدها!$J$5</f>
        <v>1.2409111911792089E-3</v>
      </c>
      <c r="X72" s="172"/>
      <c r="Y72" s="209"/>
      <c r="Z72" s="181"/>
    </row>
    <row r="73" spans="1:26">
      <c r="A73" s="117" t="s">
        <v>166</v>
      </c>
      <c r="C73" s="210">
        <v>181552</v>
      </c>
      <c r="D73" s="210"/>
      <c r="E73" s="210">
        <v>6331093315</v>
      </c>
      <c r="F73" s="210"/>
      <c r="G73" s="6">
        <v>6524054329</v>
      </c>
      <c r="H73" s="210"/>
      <c r="I73" s="210">
        <v>214094</v>
      </c>
      <c r="J73" s="210">
        <v>8538968904</v>
      </c>
      <c r="K73" s="25"/>
      <c r="L73" s="210">
        <v>2932</v>
      </c>
      <c r="M73" s="210">
        <v>104437821</v>
      </c>
      <c r="N73" s="210"/>
      <c r="O73" s="210">
        <v>392714</v>
      </c>
      <c r="P73" s="210"/>
      <c r="Q73" s="254" t="s">
        <v>602</v>
      </c>
      <c r="R73" s="210"/>
      <c r="S73" s="210">
        <v>14765624398</v>
      </c>
      <c r="T73" s="210"/>
      <c r="U73" s="6">
        <v>15841512934</v>
      </c>
      <c r="V73" s="25"/>
      <c r="W73" s="26">
        <f>U73/درآمدها!$J$5</f>
        <v>4.046919105696419E-3</v>
      </c>
      <c r="X73" s="172"/>
      <c r="Y73" s="209"/>
      <c r="Z73" s="181"/>
    </row>
    <row r="74" spans="1:26">
      <c r="A74" s="117" t="s">
        <v>485</v>
      </c>
      <c r="C74" s="210">
        <v>1349223</v>
      </c>
      <c r="D74" s="210"/>
      <c r="E74" s="210">
        <v>15099743878</v>
      </c>
      <c r="F74" s="210"/>
      <c r="G74" s="6">
        <v>15960221969</v>
      </c>
      <c r="H74" s="210"/>
      <c r="I74" s="210">
        <v>1178829</v>
      </c>
      <c r="J74" s="210">
        <v>15996128196</v>
      </c>
      <c r="K74" s="25"/>
      <c r="L74" s="210">
        <v>16838</v>
      </c>
      <c r="M74" s="210">
        <v>188441412</v>
      </c>
      <c r="N74" s="210"/>
      <c r="O74" s="210">
        <v>2511214</v>
      </c>
      <c r="P74" s="210"/>
      <c r="Q74" s="254" t="s">
        <v>603</v>
      </c>
      <c r="R74" s="210"/>
      <c r="S74" s="210">
        <v>30907430662</v>
      </c>
      <c r="T74" s="210"/>
      <c r="U74" s="6">
        <v>34348706530</v>
      </c>
      <c r="V74" s="25"/>
      <c r="W74" s="26">
        <f>U74/درآمدها!$J$5</f>
        <v>8.7748207694147966E-3</v>
      </c>
      <c r="X74" s="172"/>
      <c r="Y74" s="209"/>
      <c r="Z74" s="181"/>
    </row>
    <row r="75" spans="1:26">
      <c r="A75" s="117" t="s">
        <v>135</v>
      </c>
      <c r="C75" s="210">
        <v>615807</v>
      </c>
      <c r="D75" s="210"/>
      <c r="E75" s="210">
        <v>4051358114</v>
      </c>
      <c r="F75" s="210"/>
      <c r="G75" s="6">
        <v>5142000770</v>
      </c>
      <c r="H75" s="210"/>
      <c r="I75" s="210">
        <v>0</v>
      </c>
      <c r="J75" s="210">
        <v>0</v>
      </c>
      <c r="K75" s="25"/>
      <c r="L75" s="210">
        <v>8602</v>
      </c>
      <c r="M75" s="210">
        <v>56592053</v>
      </c>
      <c r="N75" s="210"/>
      <c r="O75" s="210">
        <v>607205</v>
      </c>
      <c r="P75" s="210"/>
      <c r="Q75" s="254" t="s">
        <v>523</v>
      </c>
      <c r="R75" s="210"/>
      <c r="S75" s="210">
        <v>3994766061</v>
      </c>
      <c r="T75" s="210"/>
      <c r="U75" s="6">
        <v>7394003600</v>
      </c>
      <c r="V75" s="25"/>
      <c r="W75" s="26">
        <f>U75/درآمدها!$J$5</f>
        <v>1.8888937288436456E-3</v>
      </c>
      <c r="X75" s="172"/>
      <c r="Y75" s="209"/>
      <c r="Z75" s="181"/>
    </row>
    <row r="76" spans="1:26">
      <c r="A76" s="117" t="s">
        <v>271</v>
      </c>
      <c r="C76" s="210">
        <v>971343</v>
      </c>
      <c r="D76" s="210"/>
      <c r="E76" s="210">
        <v>11581413914</v>
      </c>
      <c r="F76" s="210"/>
      <c r="G76" s="6">
        <v>11200536709</v>
      </c>
      <c r="H76" s="210"/>
      <c r="I76" s="210">
        <v>943320</v>
      </c>
      <c r="J76" s="210">
        <v>11993795868</v>
      </c>
      <c r="K76" s="25"/>
      <c r="L76" s="210">
        <v>12289</v>
      </c>
      <c r="M76" s="210">
        <v>146522902</v>
      </c>
      <c r="N76" s="210"/>
      <c r="O76" s="210">
        <v>1902374</v>
      </c>
      <c r="P76" s="210"/>
      <c r="Q76" s="254" t="s">
        <v>604</v>
      </c>
      <c r="R76" s="210"/>
      <c r="S76" s="210">
        <v>23428686880</v>
      </c>
      <c r="T76" s="210"/>
      <c r="U76" s="6">
        <v>23827291424</v>
      </c>
      <c r="V76" s="25"/>
      <c r="W76" s="26">
        <f>U76/درآمدها!$J$5</f>
        <v>6.0869893742171799E-3</v>
      </c>
      <c r="X76" s="172"/>
      <c r="Y76" s="209"/>
      <c r="Z76" s="181"/>
    </row>
    <row r="77" spans="1:26">
      <c r="A77" s="117" t="s">
        <v>267</v>
      </c>
      <c r="C77" s="210">
        <v>339273</v>
      </c>
      <c r="D77" s="210"/>
      <c r="E77" s="210">
        <v>5048369963</v>
      </c>
      <c r="F77" s="210"/>
      <c r="G77" s="6">
        <v>4687835131</v>
      </c>
      <c r="H77" s="210"/>
      <c r="I77" s="210">
        <v>243008</v>
      </c>
      <c r="J77" s="210">
        <v>3939472090</v>
      </c>
      <c r="K77" s="25"/>
      <c r="L77" s="210">
        <v>4303</v>
      </c>
      <c r="M77" s="210">
        <v>64028484</v>
      </c>
      <c r="N77" s="210"/>
      <c r="O77" s="210">
        <v>577978</v>
      </c>
      <c r="P77" s="210"/>
      <c r="Q77" s="254" t="s">
        <v>605</v>
      </c>
      <c r="R77" s="210"/>
      <c r="S77" s="210">
        <v>8923813569</v>
      </c>
      <c r="T77" s="210"/>
      <c r="U77" s="6">
        <v>9790145090</v>
      </c>
      <c r="V77" s="25"/>
      <c r="W77" s="26">
        <f>U77/درآمدها!$J$5</f>
        <v>2.5010190237086723E-3</v>
      </c>
      <c r="X77" s="172"/>
      <c r="Y77" s="209"/>
      <c r="Z77" s="181"/>
    </row>
    <row r="78" spans="1:26">
      <c r="A78" s="117" t="s">
        <v>440</v>
      </c>
      <c r="C78" s="210">
        <v>1023749</v>
      </c>
      <c r="D78" s="210"/>
      <c r="E78" s="210">
        <v>8134805327</v>
      </c>
      <c r="F78" s="210"/>
      <c r="G78" s="6">
        <v>9637218359</v>
      </c>
      <c r="H78" s="210"/>
      <c r="I78" s="210">
        <v>0</v>
      </c>
      <c r="J78" s="210">
        <v>0</v>
      </c>
      <c r="K78" s="25"/>
      <c r="L78" s="210">
        <v>12303</v>
      </c>
      <c r="M78" s="210">
        <v>97760789</v>
      </c>
      <c r="N78" s="210"/>
      <c r="O78" s="210">
        <v>1011446</v>
      </c>
      <c r="P78" s="210"/>
      <c r="Q78" s="254" t="s">
        <v>606</v>
      </c>
      <c r="R78" s="210"/>
      <c r="S78" s="210">
        <v>8037044538</v>
      </c>
      <c r="T78" s="210"/>
      <c r="U78" s="6">
        <v>13895013530</v>
      </c>
      <c r="V78" s="25"/>
      <c r="W78" s="26">
        <f>U78/درآمدها!$J$5</f>
        <v>3.5496606897803791E-3</v>
      </c>
      <c r="X78" s="172"/>
      <c r="Y78" s="209"/>
      <c r="Z78" s="181"/>
    </row>
    <row r="79" spans="1:26">
      <c r="A79" s="117" t="s">
        <v>180</v>
      </c>
      <c r="C79" s="210">
        <v>515251</v>
      </c>
      <c r="D79" s="210"/>
      <c r="E79" s="210">
        <v>11169255903</v>
      </c>
      <c r="F79" s="210"/>
      <c r="G79" s="6">
        <v>13926317128</v>
      </c>
      <c r="H79" s="210"/>
      <c r="I79" s="210">
        <v>485526</v>
      </c>
      <c r="J79" s="210">
        <v>15084577634</v>
      </c>
      <c r="K79" s="25"/>
      <c r="L79" s="210">
        <v>6599</v>
      </c>
      <c r="M79" s="210">
        <v>143048572</v>
      </c>
      <c r="N79" s="210"/>
      <c r="O79" s="210">
        <v>994178</v>
      </c>
      <c r="P79" s="210"/>
      <c r="Q79" s="254" t="s">
        <v>607</v>
      </c>
      <c r="R79" s="210"/>
      <c r="S79" s="210">
        <v>26110784965</v>
      </c>
      <c r="T79" s="210"/>
      <c r="U79" s="6">
        <v>29351400438</v>
      </c>
      <c r="V79" s="25"/>
      <c r="W79" s="26">
        <f>U79/درآمدها!$J$5</f>
        <v>7.4981943774164285E-3</v>
      </c>
      <c r="X79" s="172"/>
      <c r="Y79" s="209"/>
      <c r="Z79" s="181"/>
    </row>
    <row r="80" spans="1:26">
      <c r="A80" s="117" t="s">
        <v>486</v>
      </c>
      <c r="C80" s="210">
        <v>321090</v>
      </c>
      <c r="D80" s="210"/>
      <c r="E80" s="210">
        <v>4268717682</v>
      </c>
      <c r="F80" s="210"/>
      <c r="G80" s="6">
        <v>4979200427</v>
      </c>
      <c r="H80" s="210"/>
      <c r="I80" s="210">
        <v>1573241</v>
      </c>
      <c r="J80" s="210">
        <v>1496748929</v>
      </c>
      <c r="K80" s="25"/>
      <c r="L80" s="210">
        <v>5331</v>
      </c>
      <c r="M80" s="210">
        <v>74562310</v>
      </c>
      <c r="N80" s="210"/>
      <c r="O80" s="210">
        <v>1889000</v>
      </c>
      <c r="P80" s="210"/>
      <c r="Q80" s="254" t="s">
        <v>528</v>
      </c>
      <c r="R80" s="210"/>
      <c r="S80" s="210">
        <v>5690904301</v>
      </c>
      <c r="T80" s="210"/>
      <c r="U80" s="6">
        <v>7118547126</v>
      </c>
      <c r="V80" s="25"/>
      <c r="W80" s="26">
        <f>U80/درآمدها!$J$5</f>
        <v>1.8185248144563192E-3</v>
      </c>
      <c r="X80" s="172"/>
      <c r="Y80" s="209"/>
      <c r="Z80" s="181"/>
    </row>
    <row r="81" spans="1:26">
      <c r="A81" s="117" t="s">
        <v>516</v>
      </c>
      <c r="C81" s="210">
        <v>461160</v>
      </c>
      <c r="D81" s="210"/>
      <c r="E81" s="210">
        <v>1687280726</v>
      </c>
      <c r="F81" s="210"/>
      <c r="G81" s="6">
        <v>1691555404</v>
      </c>
      <c r="H81" s="210"/>
      <c r="I81" s="210">
        <v>1818711</v>
      </c>
      <c r="J81" s="210">
        <v>7462837530</v>
      </c>
      <c r="K81" s="25"/>
      <c r="L81" s="210">
        <v>8554</v>
      </c>
      <c r="M81" s="210">
        <v>31297162</v>
      </c>
      <c r="N81" s="210"/>
      <c r="O81" s="210">
        <v>2271317</v>
      </c>
      <c r="P81" s="210"/>
      <c r="Q81" s="254" t="s">
        <v>608</v>
      </c>
      <c r="R81" s="210"/>
      <c r="S81" s="210">
        <v>9118821094</v>
      </c>
      <c r="T81" s="210"/>
      <c r="U81" s="6">
        <v>9408263704</v>
      </c>
      <c r="V81" s="25"/>
      <c r="W81" s="26">
        <f>U81/درآمدها!$J$5</f>
        <v>2.4034624908477035E-3</v>
      </c>
      <c r="X81" s="172"/>
      <c r="Y81" s="209"/>
      <c r="Z81" s="181"/>
    </row>
    <row r="82" spans="1:26">
      <c r="A82" s="117" t="s">
        <v>117</v>
      </c>
      <c r="C82" s="210">
        <v>3778205</v>
      </c>
      <c r="D82" s="210"/>
      <c r="E82" s="210">
        <v>10356605076</v>
      </c>
      <c r="F82" s="210"/>
      <c r="G82" s="6">
        <v>10808975632</v>
      </c>
      <c r="H82" s="210"/>
      <c r="I82" s="210">
        <v>3500900</v>
      </c>
      <c r="J82" s="210">
        <v>11050096042</v>
      </c>
      <c r="K82" s="25"/>
      <c r="L82" s="210">
        <v>53594</v>
      </c>
      <c r="M82" s="210">
        <v>147902669</v>
      </c>
      <c r="N82" s="210"/>
      <c r="O82" s="210">
        <v>7225511</v>
      </c>
      <c r="P82" s="210"/>
      <c r="Q82" s="254" t="s">
        <v>609</v>
      </c>
      <c r="R82" s="210"/>
      <c r="S82" s="210">
        <v>21258798449</v>
      </c>
      <c r="T82" s="210"/>
      <c r="U82" s="6">
        <v>23149259417</v>
      </c>
      <c r="V82" s="25"/>
      <c r="W82" s="26">
        <f>U82/درآمدها!$J$5</f>
        <v>5.9137773398089781E-3</v>
      </c>
      <c r="X82" s="172"/>
      <c r="Y82" s="209"/>
      <c r="Z82" s="181"/>
    </row>
    <row r="83" spans="1:26">
      <c r="A83" s="117" t="s">
        <v>90</v>
      </c>
      <c r="C83" s="210">
        <v>5635440</v>
      </c>
      <c r="D83" s="210"/>
      <c r="E83" s="210">
        <v>17912274999</v>
      </c>
      <c r="F83" s="210"/>
      <c r="G83" s="6">
        <v>20217290060</v>
      </c>
      <c r="H83" s="210"/>
      <c r="I83" s="210">
        <v>2461808</v>
      </c>
      <c r="J83" s="210">
        <v>11033079998</v>
      </c>
      <c r="K83" s="25"/>
      <c r="L83" s="210">
        <v>71069</v>
      </c>
      <c r="M83" s="210">
        <v>225893182</v>
      </c>
      <c r="N83" s="210"/>
      <c r="O83" s="210">
        <v>8026179</v>
      </c>
      <c r="P83" s="210"/>
      <c r="Q83" s="254" t="s">
        <v>610</v>
      </c>
      <c r="R83" s="210"/>
      <c r="S83" s="210">
        <v>28719461815</v>
      </c>
      <c r="T83" s="210"/>
      <c r="U83" s="6">
        <v>38607590038</v>
      </c>
      <c r="V83" s="25"/>
      <c r="W83" s="26">
        <f>U83/درآمدها!$J$5</f>
        <v>9.8628075740380492E-3</v>
      </c>
      <c r="X83" s="172"/>
      <c r="Y83" s="209"/>
      <c r="Z83" s="181"/>
    </row>
    <row r="84" spans="1:26">
      <c r="A84" s="117" t="s">
        <v>214</v>
      </c>
      <c r="C84" s="210">
        <v>949967</v>
      </c>
      <c r="D84" s="210"/>
      <c r="E84" s="210">
        <v>19963840403</v>
      </c>
      <c r="F84" s="210"/>
      <c r="G84" s="6">
        <v>17639798531</v>
      </c>
      <c r="H84" s="210"/>
      <c r="I84" s="210">
        <v>569643</v>
      </c>
      <c r="J84" s="210">
        <v>11965376554</v>
      </c>
      <c r="K84" s="25"/>
      <c r="L84" s="210">
        <v>12077</v>
      </c>
      <c r="M84" s="210">
        <v>253801764</v>
      </c>
      <c r="N84" s="210"/>
      <c r="O84" s="210">
        <v>1507533</v>
      </c>
      <c r="P84" s="210"/>
      <c r="Q84" s="254" t="s">
        <v>611</v>
      </c>
      <c r="R84" s="210"/>
      <c r="S84" s="210">
        <v>31675415193</v>
      </c>
      <c r="T84" s="210"/>
      <c r="U84" s="6">
        <v>32473864084</v>
      </c>
      <c r="V84" s="25"/>
      <c r="W84" s="26">
        <f>U84/درآمدها!$J$5</f>
        <v>8.295868049021304E-3</v>
      </c>
      <c r="X84" s="172"/>
      <c r="Y84" s="209"/>
      <c r="Z84" s="181"/>
    </row>
    <row r="85" spans="1:26">
      <c r="A85" s="117" t="s">
        <v>143</v>
      </c>
      <c r="C85" s="210">
        <v>3275523</v>
      </c>
      <c r="D85" s="210"/>
      <c r="E85" s="210">
        <v>10553456885</v>
      </c>
      <c r="F85" s="210"/>
      <c r="G85" s="6">
        <v>13235776741</v>
      </c>
      <c r="H85" s="210"/>
      <c r="I85" s="210">
        <v>3185005</v>
      </c>
      <c r="J85" s="210">
        <v>15247469780</v>
      </c>
      <c r="K85" s="25"/>
      <c r="L85" s="210">
        <v>46649</v>
      </c>
      <c r="M85" s="210">
        <v>156656765</v>
      </c>
      <c r="N85" s="210"/>
      <c r="O85" s="210">
        <v>6413879</v>
      </c>
      <c r="P85" s="210"/>
      <c r="Q85" s="254" t="s">
        <v>522</v>
      </c>
      <c r="R85" s="210"/>
      <c r="S85" s="210">
        <v>25644269900</v>
      </c>
      <c r="T85" s="210"/>
      <c r="U85" s="6">
        <v>29953115744</v>
      </c>
      <c r="V85" s="25"/>
      <c r="W85" s="26">
        <f>U85/درآمدها!$J$5</f>
        <v>7.6519103247622801E-3</v>
      </c>
      <c r="X85" s="172"/>
      <c r="Y85" s="209"/>
      <c r="Z85" s="181"/>
    </row>
    <row r="86" spans="1:26">
      <c r="A86" s="117" t="s">
        <v>227</v>
      </c>
      <c r="C86" s="210">
        <v>1289800</v>
      </c>
      <c r="D86" s="210"/>
      <c r="E86" s="210">
        <v>2854106763</v>
      </c>
      <c r="F86" s="210"/>
      <c r="G86" s="6">
        <v>3120693932</v>
      </c>
      <c r="H86" s="210"/>
      <c r="I86" s="210">
        <v>0</v>
      </c>
      <c r="J86" s="210">
        <v>0</v>
      </c>
      <c r="K86" s="25"/>
      <c r="L86" s="210">
        <v>20147</v>
      </c>
      <c r="M86" s="210">
        <v>44581865</v>
      </c>
      <c r="N86" s="210"/>
      <c r="O86" s="210">
        <v>1269653</v>
      </c>
      <c r="P86" s="210"/>
      <c r="Q86" s="254" t="s">
        <v>612</v>
      </c>
      <c r="R86" s="210"/>
      <c r="S86" s="210">
        <v>2809524898</v>
      </c>
      <c r="T86" s="210"/>
      <c r="U86" s="6">
        <v>3459412169</v>
      </c>
      <c r="V86" s="25"/>
      <c r="W86" s="26">
        <f>U86/درآمدها!$J$5</f>
        <v>8.8375152420935984E-4</v>
      </c>
      <c r="X86" s="172"/>
      <c r="Y86" s="209"/>
      <c r="Z86" s="181"/>
    </row>
    <row r="87" spans="1:26">
      <c r="A87" s="117" t="s">
        <v>207</v>
      </c>
      <c r="C87" s="210">
        <v>2434128</v>
      </c>
      <c r="D87" s="210"/>
      <c r="E87" s="210">
        <v>15200614676</v>
      </c>
      <c r="F87" s="210"/>
      <c r="G87" s="6">
        <v>14517869632</v>
      </c>
      <c r="H87" s="210"/>
      <c r="I87" s="210">
        <v>2812621</v>
      </c>
      <c r="J87" s="115">
        <v>12798779135</v>
      </c>
      <c r="K87" s="25"/>
      <c r="L87" s="210">
        <v>0</v>
      </c>
      <c r="M87" s="115">
        <v>0</v>
      </c>
      <c r="N87" s="210"/>
      <c r="O87" s="210">
        <v>5246749</v>
      </c>
      <c r="P87" s="210"/>
      <c r="Q87" s="254" t="s">
        <v>555</v>
      </c>
      <c r="R87" s="210"/>
      <c r="S87" s="115">
        <v>27999393811</v>
      </c>
      <c r="T87" s="210"/>
      <c r="U87" s="141">
        <v>30771631980</v>
      </c>
      <c r="V87" s="25"/>
      <c r="W87" s="26">
        <f>U87/درآمدها!$J$5</f>
        <v>7.861010870120021E-3</v>
      </c>
      <c r="X87" s="172"/>
      <c r="Y87" s="209"/>
      <c r="Z87" s="181"/>
    </row>
    <row r="88" spans="1:26">
      <c r="A88" s="117" t="s">
        <v>184</v>
      </c>
      <c r="C88" s="210">
        <v>1182578</v>
      </c>
      <c r="D88" s="115"/>
      <c r="E88" s="210">
        <v>9933851524</v>
      </c>
      <c r="F88" s="210"/>
      <c r="G88" s="6">
        <v>8769540794</v>
      </c>
      <c r="H88" s="210"/>
      <c r="I88" s="210">
        <v>1349448</v>
      </c>
      <c r="J88" s="210">
        <v>11000024341</v>
      </c>
      <c r="K88" s="25"/>
      <c r="L88" s="210">
        <v>16704</v>
      </c>
      <c r="M88" s="210">
        <v>139141732</v>
      </c>
      <c r="N88" s="210"/>
      <c r="O88" s="210">
        <v>2515322</v>
      </c>
      <c r="P88" s="210"/>
      <c r="Q88" s="254" t="s">
        <v>613</v>
      </c>
      <c r="R88" s="210"/>
      <c r="S88" s="210">
        <v>20794734133</v>
      </c>
      <c r="T88" s="210"/>
      <c r="U88" s="6">
        <v>22028134902</v>
      </c>
      <c r="V88" s="25"/>
      <c r="W88" s="26">
        <f>U88/درآمدها!$J$5</f>
        <v>5.6273716007535666E-3</v>
      </c>
      <c r="X88" s="172"/>
      <c r="Y88" s="209"/>
      <c r="Z88" s="181"/>
    </row>
    <row r="89" spans="1:26">
      <c r="A89" s="117" t="s">
        <v>205</v>
      </c>
      <c r="C89" s="210">
        <v>2398072</v>
      </c>
      <c r="D89" s="210"/>
      <c r="E89" s="210">
        <v>10303368621</v>
      </c>
      <c r="F89" s="210"/>
      <c r="G89" s="6">
        <v>11199108712</v>
      </c>
      <c r="H89" s="210"/>
      <c r="I89" s="210">
        <v>1608185</v>
      </c>
      <c r="J89" s="210">
        <v>8283087939</v>
      </c>
      <c r="K89" s="25"/>
      <c r="L89" s="210">
        <v>30239</v>
      </c>
      <c r="M89" s="210">
        <v>129922523</v>
      </c>
      <c r="N89" s="210"/>
      <c r="O89" s="210">
        <v>3976018</v>
      </c>
      <c r="P89" s="210"/>
      <c r="Q89" s="254" t="s">
        <v>614</v>
      </c>
      <c r="R89" s="210"/>
      <c r="S89" s="210">
        <v>18456534037</v>
      </c>
      <c r="T89" s="210"/>
      <c r="U89" s="6">
        <v>21034463610</v>
      </c>
      <c r="V89" s="25"/>
      <c r="W89" s="26">
        <f>U89/درآمدها!$J$5</f>
        <v>5.3735254338419403E-3</v>
      </c>
      <c r="X89" s="172"/>
      <c r="Y89" s="209"/>
      <c r="Z89" s="181"/>
    </row>
    <row r="90" spans="1:26">
      <c r="A90" s="117" t="s">
        <v>158</v>
      </c>
      <c r="C90" s="210">
        <v>1185178</v>
      </c>
      <c r="D90" s="210"/>
      <c r="E90" s="210">
        <v>25321286466</v>
      </c>
      <c r="F90" s="210"/>
      <c r="G90" s="6">
        <v>24151586917</v>
      </c>
      <c r="H90" s="210"/>
      <c r="I90" s="210">
        <v>633565</v>
      </c>
      <c r="J90" s="210">
        <v>14991166116</v>
      </c>
      <c r="K90" s="25"/>
      <c r="L90" s="210">
        <v>14851</v>
      </c>
      <c r="M90" s="210">
        <v>317291095</v>
      </c>
      <c r="N90" s="210"/>
      <c r="O90" s="210">
        <v>1803892</v>
      </c>
      <c r="P90" s="210"/>
      <c r="Q90" s="254" t="s">
        <v>615</v>
      </c>
      <c r="R90" s="210"/>
      <c r="S90" s="210">
        <v>39995161487</v>
      </c>
      <c r="T90" s="210"/>
      <c r="U90" s="6">
        <v>47124214387</v>
      </c>
      <c r="V90" s="25"/>
      <c r="W90" s="26">
        <f>U90/درآمدها!$J$5</f>
        <v>1.203848927423944E-2</v>
      </c>
      <c r="X90" s="172"/>
      <c r="Y90" s="209"/>
      <c r="Z90" s="181"/>
    </row>
    <row r="91" spans="1:26">
      <c r="A91" s="117" t="s">
        <v>160</v>
      </c>
      <c r="C91" s="210">
        <v>1898018</v>
      </c>
      <c r="D91" s="210"/>
      <c r="E91" s="210">
        <v>8026017562</v>
      </c>
      <c r="F91" s="210"/>
      <c r="G91" s="6">
        <v>10886402059</v>
      </c>
      <c r="H91" s="210"/>
      <c r="I91" s="210">
        <v>1259722</v>
      </c>
      <c r="J91" s="210">
        <v>8254698276</v>
      </c>
      <c r="K91" s="25"/>
      <c r="L91" s="210">
        <v>22975</v>
      </c>
      <c r="M91" s="210">
        <v>97152795</v>
      </c>
      <c r="N91" s="210"/>
      <c r="O91" s="210">
        <v>3134765</v>
      </c>
      <c r="P91" s="210"/>
      <c r="Q91" s="254" t="s">
        <v>616</v>
      </c>
      <c r="R91" s="210"/>
      <c r="S91" s="210">
        <v>16183563043</v>
      </c>
      <c r="T91" s="210"/>
      <c r="U91" s="6">
        <v>19880801888</v>
      </c>
      <c r="V91" s="25"/>
      <c r="W91" s="26">
        <f>U91/درآمدها!$J$5</f>
        <v>5.0788076449714073E-3</v>
      </c>
      <c r="X91" s="172"/>
      <c r="Y91" s="209"/>
      <c r="Z91" s="181"/>
    </row>
    <row r="92" spans="1:26">
      <c r="A92" s="117" t="s">
        <v>123</v>
      </c>
      <c r="C92" s="210">
        <v>2004847</v>
      </c>
      <c r="D92" s="210"/>
      <c r="E92" s="210">
        <v>15471378311</v>
      </c>
      <c r="F92" s="210"/>
      <c r="G92" s="6">
        <v>14289223213</v>
      </c>
      <c r="H92" s="210"/>
      <c r="I92" s="210">
        <v>1167562</v>
      </c>
      <c r="J92" s="210">
        <v>10478297765</v>
      </c>
      <c r="K92" s="25"/>
      <c r="L92" s="210">
        <v>28194</v>
      </c>
      <c r="M92" s="210">
        <v>218017264</v>
      </c>
      <c r="N92" s="210"/>
      <c r="O92" s="210">
        <v>3144215</v>
      </c>
      <c r="P92" s="210"/>
      <c r="Q92" s="254" t="s">
        <v>617</v>
      </c>
      <c r="R92" s="210"/>
      <c r="S92" s="210">
        <v>25731658812</v>
      </c>
      <c r="T92" s="210"/>
      <c r="U92" s="6">
        <v>31348834418</v>
      </c>
      <c r="V92" s="25"/>
      <c r="W92" s="26">
        <f>U92/درآمدها!$J$5</f>
        <v>8.0084646886996423E-3</v>
      </c>
      <c r="X92" s="172"/>
      <c r="Y92" s="209"/>
      <c r="Z92" s="181"/>
    </row>
    <row r="93" spans="1:26">
      <c r="A93" s="117" t="s">
        <v>197</v>
      </c>
      <c r="C93" s="210">
        <v>296379</v>
      </c>
      <c r="D93" s="210"/>
      <c r="E93" s="210">
        <v>4620049740</v>
      </c>
      <c r="F93" s="210"/>
      <c r="G93" s="6">
        <v>5067387375</v>
      </c>
      <c r="H93" s="210"/>
      <c r="I93" s="210">
        <v>753685</v>
      </c>
      <c r="J93" s="210">
        <v>13563618577</v>
      </c>
      <c r="K93" s="25"/>
      <c r="L93" s="210">
        <v>5218</v>
      </c>
      <c r="M93" s="210">
        <v>84878755</v>
      </c>
      <c r="N93" s="210"/>
      <c r="O93" s="210">
        <v>1044846</v>
      </c>
      <c r="P93" s="210"/>
      <c r="Q93" s="254" t="s">
        <v>618</v>
      </c>
      <c r="R93" s="210"/>
      <c r="S93" s="210">
        <v>18098789562</v>
      </c>
      <c r="T93" s="210"/>
      <c r="U93" s="6">
        <v>18996527454</v>
      </c>
      <c r="V93" s="25"/>
      <c r="W93" s="26">
        <f>U93/درآمدها!$J$5</f>
        <v>4.8529083185281036E-3</v>
      </c>
      <c r="X93" s="172"/>
      <c r="Y93" s="209"/>
      <c r="Z93" s="181"/>
    </row>
    <row r="94" spans="1:26">
      <c r="A94" s="117" t="s">
        <v>125</v>
      </c>
      <c r="C94" s="210">
        <v>2674986</v>
      </c>
      <c r="D94" s="210"/>
      <c r="E94" s="210">
        <v>26348211206</v>
      </c>
      <c r="F94" s="210"/>
      <c r="G94" s="6">
        <v>27840461157</v>
      </c>
      <c r="H94" s="210"/>
      <c r="I94" s="210">
        <v>1426489</v>
      </c>
      <c r="J94" s="210">
        <v>17002426803</v>
      </c>
      <c r="K94" s="25"/>
      <c r="L94" s="210">
        <v>38289</v>
      </c>
      <c r="M94" s="210">
        <v>384616716</v>
      </c>
      <c r="N94" s="210"/>
      <c r="O94" s="210">
        <v>4063186</v>
      </c>
      <c r="P94" s="210"/>
      <c r="Q94" s="254" t="s">
        <v>619</v>
      </c>
      <c r="R94" s="210"/>
      <c r="S94" s="210">
        <v>42966021293</v>
      </c>
      <c r="T94" s="210"/>
      <c r="U94" s="6">
        <v>50083724539</v>
      </c>
      <c r="V94" s="25"/>
      <c r="W94" s="26">
        <f>U94/درآمدها!$J$5</f>
        <v>1.2794534370912356E-2</v>
      </c>
      <c r="X94" s="172"/>
      <c r="Y94" s="209"/>
      <c r="Z94" s="181"/>
    </row>
    <row r="95" spans="1:26">
      <c r="A95" s="117" t="s">
        <v>157</v>
      </c>
      <c r="C95" s="210">
        <v>1125318</v>
      </c>
      <c r="D95" s="210"/>
      <c r="E95" s="210">
        <v>16202147111</v>
      </c>
      <c r="F95" s="210"/>
      <c r="G95" s="6">
        <v>14586835551</v>
      </c>
      <c r="H95" s="210"/>
      <c r="I95" s="210">
        <v>0</v>
      </c>
      <c r="J95" s="210">
        <v>0</v>
      </c>
      <c r="K95" s="25"/>
      <c r="L95" s="210">
        <v>15481</v>
      </c>
      <c r="M95" s="210">
        <v>222892942</v>
      </c>
      <c r="N95" s="210"/>
      <c r="O95" s="210">
        <v>1109837</v>
      </c>
      <c r="P95" s="210"/>
      <c r="Q95" s="254" t="s">
        <v>620</v>
      </c>
      <c r="R95" s="210"/>
      <c r="S95" s="210">
        <v>15979254169</v>
      </c>
      <c r="T95" s="210"/>
      <c r="U95" s="6">
        <v>16360952362</v>
      </c>
      <c r="V95" s="25"/>
      <c r="W95" s="26">
        <f>U95/درآمدها!$J$5</f>
        <v>4.1796166172398709E-3</v>
      </c>
      <c r="X95" s="172"/>
      <c r="Y95" s="209"/>
      <c r="Z95" s="181"/>
    </row>
    <row r="96" spans="1:26">
      <c r="A96" s="117" t="s">
        <v>156</v>
      </c>
      <c r="C96" s="210">
        <v>2653034</v>
      </c>
      <c r="D96" s="210"/>
      <c r="E96" s="210">
        <v>38025532026</v>
      </c>
      <c r="F96" s="210"/>
      <c r="G96" s="6">
        <v>46626552558</v>
      </c>
      <c r="H96" s="210"/>
      <c r="I96" s="210">
        <v>1440606</v>
      </c>
      <c r="J96" s="210">
        <v>27029370198</v>
      </c>
      <c r="K96" s="25"/>
      <c r="L96" s="210">
        <v>36045</v>
      </c>
      <c r="M96" s="210">
        <v>530254287</v>
      </c>
      <c r="N96" s="210"/>
      <c r="O96" s="210">
        <v>4057595</v>
      </c>
      <c r="P96" s="210"/>
      <c r="Q96" s="254" t="s">
        <v>621</v>
      </c>
      <c r="R96" s="210"/>
      <c r="S96" s="210">
        <v>64524647937</v>
      </c>
      <c r="T96" s="210"/>
      <c r="U96" s="6">
        <v>75546561765</v>
      </c>
      <c r="V96" s="25"/>
      <c r="W96" s="26">
        <f>U96/درآمدها!$J$5</f>
        <v>1.9299345046790026E-2</v>
      </c>
      <c r="X96" s="172"/>
      <c r="Y96" s="209"/>
      <c r="Z96" s="181"/>
    </row>
    <row r="97" spans="1:26">
      <c r="A97" s="117" t="s">
        <v>487</v>
      </c>
      <c r="C97" s="210">
        <v>0</v>
      </c>
      <c r="D97" s="210"/>
      <c r="E97" s="210">
        <v>0</v>
      </c>
      <c r="F97" s="210"/>
      <c r="G97" s="6">
        <v>0</v>
      </c>
      <c r="H97" s="210"/>
      <c r="I97" s="210">
        <v>2637269</v>
      </c>
      <c r="J97" s="210">
        <v>11849191847</v>
      </c>
      <c r="K97" s="25"/>
      <c r="L97" s="210">
        <v>0</v>
      </c>
      <c r="M97" s="210">
        <v>0</v>
      </c>
      <c r="N97" s="210"/>
      <c r="O97" s="210">
        <v>2637269</v>
      </c>
      <c r="P97" s="210"/>
      <c r="Q97" s="254" t="s">
        <v>622</v>
      </c>
      <c r="R97" s="210"/>
      <c r="S97" s="210">
        <v>11849191847</v>
      </c>
      <c r="T97" s="210"/>
      <c r="U97" s="6">
        <v>12583570800</v>
      </c>
      <c r="V97" s="25"/>
      <c r="W97" s="26">
        <f>U97/درآمدها!$J$5</f>
        <v>3.2146357043402055E-3</v>
      </c>
      <c r="X97" s="172"/>
      <c r="Y97" s="209"/>
      <c r="Z97" s="181"/>
    </row>
    <row r="98" spans="1:26">
      <c r="A98" s="117" t="s">
        <v>134</v>
      </c>
      <c r="C98" s="210">
        <v>2510488</v>
      </c>
      <c r="D98" s="210"/>
      <c r="E98" s="210">
        <v>11786930128</v>
      </c>
      <c r="F98" s="210"/>
      <c r="G98" s="6">
        <v>14399326945.00001</v>
      </c>
      <c r="H98" s="210"/>
      <c r="I98" s="210">
        <v>1141470</v>
      </c>
      <c r="J98" s="210">
        <v>8003922242</v>
      </c>
      <c r="K98" s="25"/>
      <c r="L98" s="210">
        <v>17558</v>
      </c>
      <c r="M98" s="210">
        <v>82436132</v>
      </c>
      <c r="N98" s="210"/>
      <c r="O98" s="210">
        <v>3634400</v>
      </c>
      <c r="P98" s="210"/>
      <c r="Q98" s="254" t="s">
        <v>623</v>
      </c>
      <c r="R98" s="210"/>
      <c r="S98" s="210">
        <v>19708416238</v>
      </c>
      <c r="T98" s="210"/>
      <c r="U98" s="6">
        <v>25397810504</v>
      </c>
      <c r="V98" s="25"/>
      <c r="W98" s="26">
        <f>U98/درآمدها!$J$5</f>
        <v>6.4881987597848701E-3</v>
      </c>
      <c r="X98" s="172"/>
      <c r="Y98" s="209"/>
      <c r="Z98" s="181"/>
    </row>
    <row r="99" spans="1:26">
      <c r="A99" s="117" t="s">
        <v>263</v>
      </c>
      <c r="C99" s="210">
        <v>492321</v>
      </c>
      <c r="D99" s="210"/>
      <c r="E99" s="210">
        <v>1536817207</v>
      </c>
      <c r="F99" s="210"/>
      <c r="G99" s="6">
        <v>2050061795</v>
      </c>
      <c r="H99" s="210"/>
      <c r="I99" s="210">
        <v>0</v>
      </c>
      <c r="J99" s="210">
        <v>0</v>
      </c>
      <c r="K99" s="25"/>
      <c r="L99" s="210">
        <v>8416</v>
      </c>
      <c r="M99" s="210">
        <v>26271180</v>
      </c>
      <c r="N99" s="210"/>
      <c r="O99" s="210">
        <v>483905</v>
      </c>
      <c r="P99" s="210"/>
      <c r="Q99" s="254" t="s">
        <v>624</v>
      </c>
      <c r="R99" s="210"/>
      <c r="S99" s="210">
        <v>1510546027</v>
      </c>
      <c r="T99" s="210"/>
      <c r="U99" s="6">
        <v>2179046720</v>
      </c>
      <c r="V99" s="25"/>
      <c r="W99" s="26">
        <f>U99/درآمدها!$J$5</f>
        <v>5.5666563162957007E-4</v>
      </c>
      <c r="X99" s="172"/>
      <c r="Y99" s="209"/>
      <c r="Z99" s="181"/>
    </row>
    <row r="100" spans="1:26">
      <c r="A100" s="117" t="s">
        <v>121</v>
      </c>
      <c r="C100" s="210">
        <v>1977354</v>
      </c>
      <c r="D100" s="210"/>
      <c r="E100" s="210">
        <v>24141939274</v>
      </c>
      <c r="F100" s="210"/>
      <c r="G100" s="6">
        <v>24078462114</v>
      </c>
      <c r="H100" s="210"/>
      <c r="I100" s="210">
        <v>510230</v>
      </c>
      <c r="J100" s="210">
        <v>6973001908</v>
      </c>
      <c r="K100" s="25"/>
      <c r="L100" s="210">
        <v>24800</v>
      </c>
      <c r="M100" s="210">
        <v>302788521</v>
      </c>
      <c r="N100" s="210"/>
      <c r="O100" s="210">
        <v>2462784</v>
      </c>
      <c r="P100" s="210"/>
      <c r="Q100" s="254" t="s">
        <v>625</v>
      </c>
      <c r="R100" s="210"/>
      <c r="S100" s="210">
        <v>30812152661</v>
      </c>
      <c r="T100" s="210"/>
      <c r="U100" s="6">
        <v>32804947834</v>
      </c>
      <c r="V100" s="25"/>
      <c r="W100" s="26">
        <f>U100/درآمدها!$J$5</f>
        <v>8.380447669606968E-3</v>
      </c>
      <c r="X100" s="172"/>
      <c r="Y100" s="209"/>
      <c r="Z100" s="181"/>
    </row>
    <row r="101" spans="1:26">
      <c r="A101" s="117" t="s">
        <v>276</v>
      </c>
      <c r="C101" s="210">
        <v>246131</v>
      </c>
      <c r="D101" s="210"/>
      <c r="E101" s="210">
        <v>3008285893</v>
      </c>
      <c r="F101" s="210"/>
      <c r="G101" s="6">
        <v>2409965232</v>
      </c>
      <c r="H101" s="210"/>
      <c r="I101" s="210">
        <v>0</v>
      </c>
      <c r="J101" s="210">
        <v>0</v>
      </c>
      <c r="K101" s="25"/>
      <c r="L101" s="210">
        <v>0</v>
      </c>
      <c r="M101" s="210">
        <v>0</v>
      </c>
      <c r="N101" s="210"/>
      <c r="O101" s="210">
        <v>246131</v>
      </c>
      <c r="P101" s="210"/>
      <c r="Q101" s="254" t="s">
        <v>524</v>
      </c>
      <c r="R101" s="210"/>
      <c r="S101" s="210">
        <v>3008285893</v>
      </c>
      <c r="T101" s="210"/>
      <c r="U101" s="6">
        <v>2409965232</v>
      </c>
      <c r="V101" s="25"/>
      <c r="W101" s="26">
        <f>U101/درآمدها!$J$5</f>
        <v>6.1565674832184569E-4</v>
      </c>
      <c r="X101" s="172"/>
      <c r="Y101" s="209"/>
      <c r="Z101" s="181"/>
    </row>
    <row r="102" spans="1:26">
      <c r="A102" s="117" t="s">
        <v>264</v>
      </c>
      <c r="C102" s="210">
        <v>123841</v>
      </c>
      <c r="D102" s="210"/>
      <c r="E102" s="210">
        <v>2848820741</v>
      </c>
      <c r="F102" s="210"/>
      <c r="G102" s="6">
        <v>2792002036</v>
      </c>
      <c r="H102" s="210"/>
      <c r="I102" s="210">
        <v>654188</v>
      </c>
      <c r="J102" s="210">
        <v>17028779196</v>
      </c>
      <c r="K102" s="25"/>
      <c r="L102" s="210">
        <v>2488</v>
      </c>
      <c r="M102" s="210">
        <v>57690874</v>
      </c>
      <c r="N102" s="210"/>
      <c r="O102" s="210">
        <v>775541</v>
      </c>
      <c r="P102" s="210"/>
      <c r="Q102" s="254" t="s">
        <v>626</v>
      </c>
      <c r="R102" s="210"/>
      <c r="S102" s="210">
        <v>19819909063</v>
      </c>
      <c r="T102" s="210"/>
      <c r="U102" s="6">
        <v>21269862995</v>
      </c>
      <c r="V102" s="25"/>
      <c r="W102" s="26">
        <f>U102/درآمدها!$J$5</f>
        <v>5.4336612474220353E-3</v>
      </c>
      <c r="X102" s="172"/>
      <c r="Y102" s="209"/>
      <c r="Z102" s="181"/>
    </row>
    <row r="103" spans="1:26">
      <c r="A103" s="117" t="s">
        <v>122</v>
      </c>
      <c r="C103" s="210">
        <v>1321330</v>
      </c>
      <c r="D103" s="210"/>
      <c r="E103" s="210">
        <v>9471555602</v>
      </c>
      <c r="F103" s="210"/>
      <c r="G103" s="6">
        <v>10507744695</v>
      </c>
      <c r="H103" s="210"/>
      <c r="I103" s="210">
        <v>0</v>
      </c>
      <c r="J103" s="210">
        <v>0</v>
      </c>
      <c r="K103" s="25"/>
      <c r="L103" s="210">
        <v>17312</v>
      </c>
      <c r="M103" s="210">
        <v>124095851</v>
      </c>
      <c r="N103" s="210"/>
      <c r="O103" s="210">
        <v>1304018</v>
      </c>
      <c r="P103" s="210"/>
      <c r="Q103" s="254" t="s">
        <v>526</v>
      </c>
      <c r="R103" s="210"/>
      <c r="S103" s="210">
        <v>9347459751</v>
      </c>
      <c r="T103" s="210"/>
      <c r="U103" s="6">
        <v>13144067205</v>
      </c>
      <c r="V103" s="25"/>
      <c r="W103" s="26">
        <f>U103/درآمدها!$J$5</f>
        <v>3.3578217509961619E-3</v>
      </c>
      <c r="X103" s="172"/>
      <c r="Y103" s="209"/>
      <c r="Z103" s="181"/>
    </row>
    <row r="104" spans="1:26">
      <c r="A104" s="117" t="s">
        <v>540</v>
      </c>
      <c r="C104" s="210">
        <v>0</v>
      </c>
      <c r="D104" s="210"/>
      <c r="E104" s="210">
        <v>0</v>
      </c>
      <c r="F104" s="210"/>
      <c r="G104" s="6">
        <v>0</v>
      </c>
      <c r="H104" s="210"/>
      <c r="I104" s="210">
        <v>157</v>
      </c>
      <c r="J104" s="210">
        <v>1571455</v>
      </c>
      <c r="K104" s="25"/>
      <c r="L104" s="210">
        <v>0</v>
      </c>
      <c r="M104" s="210">
        <v>0</v>
      </c>
      <c r="N104" s="210"/>
      <c r="O104" s="210">
        <v>157</v>
      </c>
      <c r="P104" s="210"/>
      <c r="Q104" s="254" t="s">
        <v>627</v>
      </c>
      <c r="R104" s="210"/>
      <c r="S104" s="210">
        <v>1571455</v>
      </c>
      <c r="T104" s="210"/>
      <c r="U104" s="6">
        <v>1560660</v>
      </c>
      <c r="V104" s="25"/>
      <c r="W104" s="26">
        <f>U104/درآمدها!$J$5</f>
        <v>3.9869075623078193E-7</v>
      </c>
      <c r="X104" s="172"/>
      <c r="Y104" s="209"/>
      <c r="Z104" s="181"/>
    </row>
    <row r="105" spans="1:26">
      <c r="A105" s="117" t="s">
        <v>517</v>
      </c>
      <c r="C105" s="210">
        <v>812910</v>
      </c>
      <c r="D105" s="210"/>
      <c r="E105" s="210">
        <v>10200428351</v>
      </c>
      <c r="F105" s="210"/>
      <c r="G105" s="6">
        <v>10723131176</v>
      </c>
      <c r="H105" s="210"/>
      <c r="I105" s="210">
        <v>4113918</v>
      </c>
      <c r="J105" s="210">
        <v>60302909605</v>
      </c>
      <c r="K105" s="25"/>
      <c r="L105" s="210">
        <v>19422</v>
      </c>
      <c r="M105" s="210">
        <v>253065452</v>
      </c>
      <c r="N105" s="210"/>
      <c r="O105" s="210">
        <v>4907406</v>
      </c>
      <c r="P105" s="210"/>
      <c r="Q105" s="254" t="s">
        <v>628</v>
      </c>
      <c r="R105" s="210"/>
      <c r="S105" s="210">
        <v>70250272504</v>
      </c>
      <c r="T105" s="210"/>
      <c r="U105" s="6">
        <v>69514448816</v>
      </c>
      <c r="V105" s="25"/>
      <c r="W105" s="26">
        <f>U105/درآمدها!$J$5</f>
        <v>1.7758363876447799E-2</v>
      </c>
      <c r="X105" s="172"/>
      <c r="Y105" s="209"/>
      <c r="Z105" s="181"/>
    </row>
    <row r="106" spans="1:26">
      <c r="A106" s="117" t="s">
        <v>141</v>
      </c>
      <c r="C106" s="210">
        <v>264006</v>
      </c>
      <c r="D106" s="210"/>
      <c r="E106" s="210">
        <v>7079027203</v>
      </c>
      <c r="F106" s="210"/>
      <c r="G106" s="6">
        <v>8240464162</v>
      </c>
      <c r="H106" s="210"/>
      <c r="I106" s="210">
        <v>0</v>
      </c>
      <c r="J106" s="210">
        <v>0</v>
      </c>
      <c r="K106" s="25"/>
      <c r="L106" s="210">
        <v>3531</v>
      </c>
      <c r="M106" s="210">
        <v>94679837</v>
      </c>
      <c r="N106" s="210"/>
      <c r="O106" s="210">
        <v>260475</v>
      </c>
      <c r="P106" s="210"/>
      <c r="Q106" s="254" t="s">
        <v>629</v>
      </c>
      <c r="R106" s="210"/>
      <c r="S106" s="210">
        <v>6984347366</v>
      </c>
      <c r="T106" s="210"/>
      <c r="U106" s="231">
        <v>9075327344</v>
      </c>
      <c r="V106" s="25"/>
      <c r="W106" s="26">
        <f>U106/درآمدها!$J$5</f>
        <v>2.3184095971071554E-3</v>
      </c>
      <c r="X106" s="172"/>
      <c r="Y106" s="209"/>
      <c r="Z106" s="181"/>
    </row>
    <row r="107" spans="1:26">
      <c r="A107" s="117" t="s">
        <v>199</v>
      </c>
      <c r="C107" s="210">
        <v>173442</v>
      </c>
      <c r="D107" s="210"/>
      <c r="E107" s="210">
        <v>9476507451</v>
      </c>
      <c r="F107" s="210"/>
      <c r="G107" s="6">
        <v>11120446299</v>
      </c>
      <c r="H107" s="210"/>
      <c r="I107" s="210">
        <v>0</v>
      </c>
      <c r="J107" s="210">
        <v>0</v>
      </c>
      <c r="K107" s="25"/>
      <c r="L107" s="210">
        <v>2108</v>
      </c>
      <c r="M107" s="210">
        <v>115176703</v>
      </c>
      <c r="N107" s="210"/>
      <c r="O107" s="210">
        <v>171334</v>
      </c>
      <c r="P107" s="210"/>
      <c r="Q107" s="254" t="s">
        <v>630</v>
      </c>
      <c r="R107" s="210"/>
      <c r="S107" s="210">
        <v>9361330748</v>
      </c>
      <c r="T107" s="210"/>
      <c r="U107" s="6">
        <v>12041239586</v>
      </c>
      <c r="V107" s="25"/>
      <c r="W107" s="26">
        <f>U107/درآمدها!$J$5</f>
        <v>3.0760901903671314E-3</v>
      </c>
      <c r="X107" s="172"/>
      <c r="Y107" s="209"/>
      <c r="Z107" s="181"/>
    </row>
    <row r="108" spans="1:26">
      <c r="A108" s="117" t="s">
        <v>215</v>
      </c>
      <c r="C108" s="210">
        <v>810251</v>
      </c>
      <c r="D108" s="210"/>
      <c r="E108" s="210">
        <v>19026867957</v>
      </c>
      <c r="F108" s="210"/>
      <c r="G108" s="6">
        <v>23574936296</v>
      </c>
      <c r="H108" s="210"/>
      <c r="I108" s="210">
        <v>160050</v>
      </c>
      <c r="J108" s="210">
        <v>5304218383</v>
      </c>
      <c r="K108" s="25"/>
      <c r="L108" s="210">
        <v>159581</v>
      </c>
      <c r="M108" s="210">
        <v>3747390149</v>
      </c>
      <c r="N108" s="210"/>
      <c r="O108" s="210">
        <v>810720</v>
      </c>
      <c r="P108" s="210"/>
      <c r="Q108" s="254" t="s">
        <v>631</v>
      </c>
      <c r="R108" s="210"/>
      <c r="S108" s="210">
        <v>20583696191</v>
      </c>
      <c r="T108" s="210"/>
      <c r="U108" s="6">
        <v>26296393532</v>
      </c>
      <c r="V108" s="25"/>
      <c r="W108" s="26">
        <f>U108/درآمدها!$J$5</f>
        <v>6.7177534013912847E-3</v>
      </c>
      <c r="X108" s="172"/>
      <c r="Y108" s="209"/>
      <c r="Z108" s="181"/>
    </row>
    <row r="109" spans="1:26">
      <c r="A109" s="117" t="s">
        <v>104</v>
      </c>
      <c r="C109" s="210">
        <v>1229900</v>
      </c>
      <c r="D109" s="210"/>
      <c r="E109" s="210">
        <v>23777039594</v>
      </c>
      <c r="F109" s="210"/>
      <c r="G109" s="6">
        <v>24818416530</v>
      </c>
      <c r="H109" s="210"/>
      <c r="I109" s="210">
        <v>1394835</v>
      </c>
      <c r="J109" s="210">
        <v>33508994005</v>
      </c>
      <c r="K109" s="25"/>
      <c r="L109" s="210">
        <v>68862</v>
      </c>
      <c r="M109" s="210">
        <v>1373096279</v>
      </c>
      <c r="N109" s="210"/>
      <c r="O109" s="210">
        <v>2555873</v>
      </c>
      <c r="P109" s="210"/>
      <c r="Q109" s="254" t="s">
        <v>632</v>
      </c>
      <c r="R109" s="210"/>
      <c r="S109" s="210">
        <v>55912937320</v>
      </c>
      <c r="T109" s="210"/>
      <c r="U109" s="6">
        <v>61865206283</v>
      </c>
      <c r="V109" s="25"/>
      <c r="W109" s="26">
        <f>U109/درآمدها!$J$5</f>
        <v>1.5804266065217659E-2</v>
      </c>
      <c r="X109" s="172"/>
      <c r="Y109" s="209"/>
      <c r="Z109" s="181"/>
    </row>
    <row r="110" spans="1:26">
      <c r="A110" s="117" t="s">
        <v>106</v>
      </c>
      <c r="C110" s="210">
        <v>0</v>
      </c>
      <c r="D110" s="210"/>
      <c r="E110" s="210">
        <v>32166422141</v>
      </c>
      <c r="F110" s="210"/>
      <c r="G110" s="6">
        <v>32976866745</v>
      </c>
      <c r="H110" s="210"/>
      <c r="I110" s="210">
        <v>127478</v>
      </c>
      <c r="J110" s="210">
        <v>2749338133</v>
      </c>
      <c r="K110" s="25"/>
      <c r="L110" s="210">
        <v>735692</v>
      </c>
      <c r="M110" s="210">
        <v>13660494140</v>
      </c>
      <c r="N110" s="210"/>
      <c r="O110" s="210">
        <v>1124123</v>
      </c>
      <c r="P110" s="210"/>
      <c r="Q110" s="254" t="s">
        <v>633</v>
      </c>
      <c r="R110" s="210"/>
      <c r="S110" s="210">
        <v>21255266134</v>
      </c>
      <c r="T110" s="210"/>
      <c r="U110" s="6">
        <v>24036015413</v>
      </c>
      <c r="V110" s="25"/>
      <c r="W110" s="26">
        <f>U110/درآمدها!$J$5</f>
        <v>6.1403106133198129E-3</v>
      </c>
      <c r="X110" s="172"/>
      <c r="Y110" s="209"/>
      <c r="Z110" s="181"/>
    </row>
    <row r="111" spans="1:26">
      <c r="A111" s="117" t="s">
        <v>187</v>
      </c>
      <c r="C111" s="210">
        <v>1732337</v>
      </c>
      <c r="D111" s="210"/>
      <c r="E111" s="210">
        <v>30348938289</v>
      </c>
      <c r="F111" s="210"/>
      <c r="G111" s="6">
        <v>35933663351</v>
      </c>
      <c r="H111" s="210"/>
      <c r="I111" s="210">
        <v>2347599</v>
      </c>
      <c r="J111" s="210">
        <v>39410875873</v>
      </c>
      <c r="K111" s="25"/>
      <c r="L111" s="210">
        <v>119054</v>
      </c>
      <c r="M111" s="210">
        <v>1551154699</v>
      </c>
      <c r="N111" s="210"/>
      <c r="O111" s="210">
        <v>4614601</v>
      </c>
      <c r="P111" s="210"/>
      <c r="Q111" s="254" t="s">
        <v>634</v>
      </c>
      <c r="R111" s="210"/>
      <c r="S111" s="210">
        <v>68208659463</v>
      </c>
      <c r="T111" s="210"/>
      <c r="U111" s="6">
        <v>76100721023</v>
      </c>
      <c r="V111" s="25"/>
      <c r="W111" s="26">
        <f>U111/درآمدها!$J$5</f>
        <v>1.9440912187387152E-2</v>
      </c>
      <c r="X111" s="172"/>
      <c r="Y111" s="209"/>
      <c r="Z111" s="181"/>
    </row>
    <row r="112" spans="1:26">
      <c r="A112" s="117" t="s">
        <v>189</v>
      </c>
      <c r="C112" s="210">
        <v>2386056</v>
      </c>
      <c r="D112" s="210"/>
      <c r="E112" s="210">
        <v>9803814937</v>
      </c>
      <c r="F112" s="210"/>
      <c r="G112" s="6">
        <v>12496780891</v>
      </c>
      <c r="H112" s="210"/>
      <c r="I112" s="210">
        <v>0</v>
      </c>
      <c r="J112" s="210">
        <v>0</v>
      </c>
      <c r="K112" s="25"/>
      <c r="L112" s="210">
        <v>4357</v>
      </c>
      <c r="M112" s="210">
        <v>123304722</v>
      </c>
      <c r="N112" s="210"/>
      <c r="O112" s="210">
        <v>342063</v>
      </c>
      <c r="P112" s="210"/>
      <c r="Q112" s="254" t="s">
        <v>635</v>
      </c>
      <c r="R112" s="210"/>
      <c r="S112" s="210">
        <v>9680510215</v>
      </c>
      <c r="T112" s="210"/>
      <c r="U112" s="6">
        <v>13441295978</v>
      </c>
      <c r="V112" s="25"/>
      <c r="W112" s="26">
        <f>U112/درآمدها!$J$5</f>
        <v>3.4337526803984129E-3</v>
      </c>
      <c r="X112" s="172"/>
      <c r="Y112" s="209"/>
      <c r="Z112" s="181"/>
    </row>
    <row r="113" spans="1:26">
      <c r="A113" s="117" t="s">
        <v>488</v>
      </c>
      <c r="C113" s="210">
        <v>346420</v>
      </c>
      <c r="D113" s="210"/>
      <c r="E113" s="210">
        <v>8141242580</v>
      </c>
      <c r="F113" s="210"/>
      <c r="G113" s="6">
        <v>8854328131</v>
      </c>
      <c r="H113" s="210"/>
      <c r="I113" s="210">
        <v>363156</v>
      </c>
      <c r="J113" s="210">
        <v>9427667736</v>
      </c>
      <c r="K113" s="25"/>
      <c r="L113" s="210">
        <v>5168</v>
      </c>
      <c r="M113" s="210">
        <v>108357564</v>
      </c>
      <c r="N113" s="210"/>
      <c r="O113" s="210">
        <v>746276</v>
      </c>
      <c r="P113" s="210"/>
      <c r="Q113" s="254" t="s">
        <v>636</v>
      </c>
      <c r="R113" s="210"/>
      <c r="S113" s="210">
        <v>17460552752</v>
      </c>
      <c r="T113" s="210"/>
      <c r="U113" s="6">
        <v>20274368531</v>
      </c>
      <c r="V113" s="25"/>
      <c r="W113" s="26">
        <f>U113/درآمدها!$J$5</f>
        <v>5.1793493276728799E-3</v>
      </c>
      <c r="X113" s="172"/>
      <c r="Y113" s="209"/>
      <c r="Z113" s="181"/>
    </row>
    <row r="114" spans="1:26">
      <c r="A114" s="117" t="s">
        <v>489</v>
      </c>
      <c r="C114" s="210">
        <v>388288</v>
      </c>
      <c r="D114" s="210"/>
      <c r="E114" s="210">
        <v>5294285057</v>
      </c>
      <c r="F114" s="210"/>
      <c r="G114" s="6">
        <v>5765615245</v>
      </c>
      <c r="H114" s="210"/>
      <c r="I114" s="210">
        <v>214595</v>
      </c>
      <c r="J114" s="210">
        <v>3533275446</v>
      </c>
      <c r="K114" s="25"/>
      <c r="L114" s="210">
        <v>5355</v>
      </c>
      <c r="M114" s="210">
        <v>68480592</v>
      </c>
      <c r="N114" s="210"/>
      <c r="O114" s="210">
        <v>623239</v>
      </c>
      <c r="P114" s="210"/>
      <c r="Q114" s="254" t="s">
        <v>637</v>
      </c>
      <c r="R114" s="210"/>
      <c r="S114" s="210">
        <v>8759079911</v>
      </c>
      <c r="T114" s="210"/>
      <c r="U114" s="6">
        <v>9949663495</v>
      </c>
      <c r="V114" s="25"/>
      <c r="W114" s="26">
        <f>U114/درآمدها!$J$5</f>
        <v>2.5417700607841265E-3</v>
      </c>
      <c r="X114" s="172"/>
      <c r="Y114" s="209"/>
      <c r="Z114" s="181"/>
    </row>
    <row r="115" spans="1:26">
      <c r="A115" s="117" t="s">
        <v>218</v>
      </c>
      <c r="C115" s="210">
        <v>413999</v>
      </c>
      <c r="D115" s="210"/>
      <c r="E115" s="210">
        <v>7653826452</v>
      </c>
      <c r="F115" s="210"/>
      <c r="G115" s="6">
        <v>8481437507</v>
      </c>
      <c r="H115" s="210"/>
      <c r="I115" s="210">
        <v>688762</v>
      </c>
      <c r="J115" s="210">
        <v>4975524201</v>
      </c>
      <c r="K115" s="25"/>
      <c r="L115" s="210">
        <v>20263</v>
      </c>
      <c r="M115" s="210">
        <v>101972714</v>
      </c>
      <c r="N115" s="210"/>
      <c r="O115" s="210">
        <v>2189391</v>
      </c>
      <c r="P115" s="210"/>
      <c r="Q115" s="254" t="s">
        <v>638</v>
      </c>
      <c r="R115" s="210"/>
      <c r="S115" s="210">
        <v>12527377939</v>
      </c>
      <c r="T115" s="210"/>
      <c r="U115" s="6">
        <v>15822167181</v>
      </c>
      <c r="V115" s="25"/>
      <c r="W115" s="26">
        <f>U115/درآمدها!$J$5</f>
        <v>4.0419769832011768E-3</v>
      </c>
      <c r="X115" s="172"/>
      <c r="Y115" s="209"/>
      <c r="Z115" s="181"/>
    </row>
    <row r="116" spans="1:26">
      <c r="A116" s="117" t="s">
        <v>490</v>
      </c>
      <c r="C116" s="210">
        <v>1520892</v>
      </c>
      <c r="D116" s="210"/>
      <c r="E116" s="210">
        <v>4699648266</v>
      </c>
      <c r="F116" s="210"/>
      <c r="G116" s="6">
        <v>5495195996</v>
      </c>
      <c r="H116" s="210"/>
      <c r="I116" s="210">
        <v>1908223</v>
      </c>
      <c r="J116" s="210">
        <v>3971012750</v>
      </c>
      <c r="K116" s="25"/>
      <c r="L116" s="210">
        <v>60464</v>
      </c>
      <c r="M116" s="210">
        <v>90516184</v>
      </c>
      <c r="N116" s="210"/>
      <c r="O116" s="210">
        <v>5190013</v>
      </c>
      <c r="P116" s="210"/>
      <c r="Q116" s="254" t="s">
        <v>639</v>
      </c>
      <c r="R116" s="210"/>
      <c r="S116" s="210">
        <v>8580144832</v>
      </c>
      <c r="T116" s="210"/>
      <c r="U116" s="6">
        <v>13527245216</v>
      </c>
      <c r="V116" s="25"/>
      <c r="W116" s="26">
        <f>U116/درآمدها!$J$5</f>
        <v>3.4557095234620397E-3</v>
      </c>
      <c r="X116" s="172"/>
      <c r="Y116" s="209"/>
      <c r="Z116" s="181"/>
    </row>
    <row r="117" spans="1:26">
      <c r="A117" s="117" t="s">
        <v>256</v>
      </c>
      <c r="C117" s="210">
        <v>3342254</v>
      </c>
      <c r="D117" s="210"/>
      <c r="E117" s="210">
        <v>2751643179</v>
      </c>
      <c r="F117" s="210"/>
      <c r="G117" s="6">
        <v>3081639139</v>
      </c>
      <c r="H117" s="210"/>
      <c r="I117" s="210">
        <v>4703599</v>
      </c>
      <c r="J117" s="210">
        <v>7351442337</v>
      </c>
      <c r="K117" s="25"/>
      <c r="L117" s="210">
        <v>35758</v>
      </c>
      <c r="M117" s="210">
        <v>43164895</v>
      </c>
      <c r="N117" s="210"/>
      <c r="O117" s="210">
        <v>6947315</v>
      </c>
      <c r="P117" s="210"/>
      <c r="Q117" s="254" t="s">
        <v>640</v>
      </c>
      <c r="R117" s="210"/>
      <c r="S117" s="210">
        <v>10059920621</v>
      </c>
      <c r="T117" s="210"/>
      <c r="U117" s="6">
        <v>10773326426</v>
      </c>
      <c r="V117" s="25"/>
      <c r="W117" s="26">
        <f>U117/درآمدها!$J$5</f>
        <v>2.7521853958600894E-3</v>
      </c>
      <c r="X117" s="172"/>
      <c r="Y117" s="209"/>
      <c r="Z117" s="181"/>
    </row>
    <row r="118" spans="1:26">
      <c r="A118" s="117" t="s">
        <v>220</v>
      </c>
      <c r="C118" s="210">
        <v>2279474</v>
      </c>
      <c r="D118" s="210"/>
      <c r="E118" s="210">
        <v>10631929323</v>
      </c>
      <c r="F118" s="210"/>
      <c r="G118" s="6">
        <v>9964394081</v>
      </c>
      <c r="H118" s="210"/>
      <c r="I118" s="210">
        <v>491099</v>
      </c>
      <c r="J118" s="210">
        <v>5483424399</v>
      </c>
      <c r="K118" s="25"/>
      <c r="L118" s="210">
        <v>12178</v>
      </c>
      <c r="M118" s="210">
        <v>134977592</v>
      </c>
      <c r="N118" s="210"/>
      <c r="O118" s="210">
        <v>1438159</v>
      </c>
      <c r="P118" s="210"/>
      <c r="Q118" s="254" t="s">
        <v>641</v>
      </c>
      <c r="R118" s="210"/>
      <c r="S118" s="210">
        <v>15980376130</v>
      </c>
      <c r="T118" s="210"/>
      <c r="U118" s="6">
        <v>15997245870</v>
      </c>
      <c r="V118" s="25"/>
      <c r="W118" s="26">
        <f>U118/درآمدها!$J$5</f>
        <v>4.0867030958184692E-3</v>
      </c>
      <c r="X118" s="172"/>
      <c r="Y118" s="209"/>
      <c r="Z118" s="181"/>
    </row>
    <row r="119" spans="1:26">
      <c r="A119" s="117" t="s">
        <v>198</v>
      </c>
      <c r="C119" s="210">
        <v>959238</v>
      </c>
      <c r="D119" s="210"/>
      <c r="E119" s="210">
        <v>16456357331</v>
      </c>
      <c r="F119" s="210"/>
      <c r="G119" s="6">
        <v>19420366675.999969</v>
      </c>
      <c r="H119" s="210"/>
      <c r="I119" s="210">
        <v>0</v>
      </c>
      <c r="J119" s="210">
        <v>0</v>
      </c>
      <c r="K119" s="25"/>
      <c r="L119" s="210">
        <v>123407</v>
      </c>
      <c r="M119" s="210">
        <v>1694384276</v>
      </c>
      <c r="N119" s="210"/>
      <c r="O119" s="210">
        <v>1075158</v>
      </c>
      <c r="P119" s="210"/>
      <c r="Q119" s="254" t="s">
        <v>642</v>
      </c>
      <c r="R119" s="210"/>
      <c r="S119" s="210">
        <v>14761973055</v>
      </c>
      <c r="T119" s="210"/>
      <c r="U119" s="6">
        <v>26173952238</v>
      </c>
      <c r="V119" s="25"/>
      <c r="W119" s="26">
        <f>U119/درآمدها!$J$5</f>
        <v>6.6864741912502313E-3</v>
      </c>
      <c r="X119" s="172"/>
      <c r="Y119" s="209"/>
      <c r="Z119" s="181"/>
    </row>
    <row r="120" spans="1:26">
      <c r="A120" s="117" t="s">
        <v>164</v>
      </c>
      <c r="C120" s="210">
        <v>0</v>
      </c>
      <c r="D120" s="210"/>
      <c r="E120" s="210">
        <v>16616261099</v>
      </c>
      <c r="F120" s="210"/>
      <c r="G120" s="6">
        <v>16813779204</v>
      </c>
      <c r="H120" s="210"/>
      <c r="I120" s="210">
        <v>267319</v>
      </c>
      <c r="J120" s="210">
        <v>16938524413</v>
      </c>
      <c r="K120" s="25"/>
      <c r="L120" s="210">
        <v>4524</v>
      </c>
      <c r="M120" s="210">
        <v>271676489</v>
      </c>
      <c r="N120" s="210"/>
      <c r="O120" s="210">
        <v>544702</v>
      </c>
      <c r="P120" s="210"/>
      <c r="Q120" s="254" t="s">
        <v>643</v>
      </c>
      <c r="R120" s="210"/>
      <c r="S120" s="210">
        <v>33283109023</v>
      </c>
      <c r="T120" s="210"/>
      <c r="U120" s="6">
        <v>33722192522</v>
      </c>
      <c r="V120" s="25"/>
      <c r="W120" s="26">
        <f>U120/درآمدها!$J$5</f>
        <v>8.6147696733152625E-3</v>
      </c>
      <c r="X120" s="172"/>
      <c r="Y120" s="209"/>
      <c r="Z120" s="181"/>
    </row>
    <row r="121" spans="1:26">
      <c r="A121" s="117" t="s">
        <v>169</v>
      </c>
      <c r="C121" s="210">
        <v>1198565</v>
      </c>
      <c r="D121" s="210"/>
      <c r="E121" s="210">
        <v>14478592727</v>
      </c>
      <c r="F121" s="210"/>
      <c r="G121" s="6">
        <v>15403780649.000019</v>
      </c>
      <c r="H121" s="210"/>
      <c r="I121" s="210">
        <v>2491532</v>
      </c>
      <c r="J121" s="210">
        <v>9407473237</v>
      </c>
      <c r="K121" s="25"/>
      <c r="L121" s="210">
        <v>413222</v>
      </c>
      <c r="M121" s="210">
        <v>170634359</v>
      </c>
      <c r="N121" s="210"/>
      <c r="O121" s="210">
        <v>6939032</v>
      </c>
      <c r="P121" s="210"/>
      <c r="Q121" s="254" t="s">
        <v>644</v>
      </c>
      <c r="R121" s="210"/>
      <c r="S121" s="210">
        <v>23715431605</v>
      </c>
      <c r="T121" s="210"/>
      <c r="U121" s="6">
        <v>29260233273</v>
      </c>
      <c r="V121" s="25"/>
      <c r="W121" s="26">
        <f>U121/درآمدها!$J$5</f>
        <v>7.4749045475000688E-3</v>
      </c>
      <c r="X121" s="172"/>
      <c r="Y121" s="209"/>
      <c r="Z121" s="181"/>
    </row>
    <row r="122" spans="1:26">
      <c r="A122" s="117" t="s">
        <v>145</v>
      </c>
      <c r="C122" s="210">
        <v>281907</v>
      </c>
      <c r="D122" s="210"/>
      <c r="E122" s="210">
        <v>15126104149</v>
      </c>
      <c r="F122" s="210"/>
      <c r="G122" s="6">
        <v>15258499112</v>
      </c>
      <c r="H122" s="210"/>
      <c r="I122" s="210">
        <v>538089</v>
      </c>
      <c r="J122" s="210">
        <v>5995340849</v>
      </c>
      <c r="K122" s="25"/>
      <c r="L122" s="210">
        <v>21633</v>
      </c>
      <c r="M122" s="210">
        <v>218371261</v>
      </c>
      <c r="N122" s="210"/>
      <c r="O122" s="210">
        <v>2030246</v>
      </c>
      <c r="P122" s="210"/>
      <c r="Q122" s="254" t="s">
        <v>645</v>
      </c>
      <c r="R122" s="210"/>
      <c r="S122" s="210">
        <v>20903073737</v>
      </c>
      <c r="T122" s="210"/>
      <c r="U122" s="6">
        <v>22159463081</v>
      </c>
      <c r="V122" s="25"/>
      <c r="W122" s="26">
        <f>U122/درآمدها!$J$5</f>
        <v>5.6609210804608196E-3</v>
      </c>
      <c r="X122" s="172"/>
      <c r="Y122" s="209"/>
      <c r="Z122" s="181"/>
    </row>
    <row r="123" spans="1:26">
      <c r="A123" s="117" t="s">
        <v>211</v>
      </c>
      <c r="C123" s="210">
        <v>4860722</v>
      </c>
      <c r="D123" s="210"/>
      <c r="E123" s="210">
        <v>4297951763</v>
      </c>
      <c r="F123" s="210"/>
      <c r="G123" s="6">
        <v>3912917785</v>
      </c>
      <c r="H123" s="210"/>
      <c r="I123" s="210">
        <v>810796</v>
      </c>
      <c r="J123" s="210">
        <v>8166910140</v>
      </c>
      <c r="K123" s="25"/>
      <c r="L123" s="210">
        <v>7701</v>
      </c>
      <c r="M123" s="210">
        <v>74910244</v>
      </c>
      <c r="N123" s="210"/>
      <c r="O123" s="210">
        <v>1240466</v>
      </c>
      <c r="P123" s="210"/>
      <c r="Q123" s="254" t="s">
        <v>646</v>
      </c>
      <c r="R123" s="210"/>
      <c r="S123" s="210">
        <v>12389951659</v>
      </c>
      <c r="T123" s="210"/>
      <c r="U123" s="6">
        <v>12688446993</v>
      </c>
      <c r="V123" s="25"/>
      <c r="W123" s="26">
        <f>U123/درآمدها!$J$5</f>
        <v>3.2414276825403101E-3</v>
      </c>
      <c r="X123" s="172"/>
      <c r="Y123" s="209"/>
      <c r="Z123" s="181"/>
    </row>
    <row r="124" spans="1:26">
      <c r="A124" s="117" t="s">
        <v>124</v>
      </c>
      <c r="C124" s="210">
        <v>1513790</v>
      </c>
      <c r="D124" s="210"/>
      <c r="E124" s="210">
        <v>5646206722</v>
      </c>
      <c r="F124" s="210"/>
      <c r="G124" s="6">
        <v>5750451577</v>
      </c>
      <c r="H124" s="210"/>
      <c r="I124" s="210">
        <v>163668</v>
      </c>
      <c r="J124" s="210">
        <v>2999295463</v>
      </c>
      <c r="K124" s="25"/>
      <c r="L124" s="210">
        <v>5115</v>
      </c>
      <c r="M124" s="210">
        <v>79179340</v>
      </c>
      <c r="N124" s="210"/>
      <c r="O124" s="210">
        <v>523299</v>
      </c>
      <c r="P124" s="210"/>
      <c r="Q124" s="254" t="s">
        <v>647</v>
      </c>
      <c r="R124" s="210"/>
      <c r="S124" s="210">
        <v>8566322845</v>
      </c>
      <c r="T124" s="210"/>
      <c r="U124" s="6">
        <v>9467373754</v>
      </c>
      <c r="V124" s="25"/>
      <c r="W124" s="26">
        <f>U124/درآمدها!$J$5</f>
        <v>2.4185629166517475E-3</v>
      </c>
      <c r="X124" s="172"/>
      <c r="Y124" s="209"/>
      <c r="Z124" s="181"/>
    </row>
    <row r="125" spans="1:26">
      <c r="A125" s="117" t="s">
        <v>105</v>
      </c>
      <c r="C125" s="210">
        <v>437371</v>
      </c>
      <c r="D125" s="210"/>
      <c r="E125" s="210">
        <v>6041249432</v>
      </c>
      <c r="F125" s="210"/>
      <c r="G125" s="6">
        <v>5736927596</v>
      </c>
      <c r="H125" s="210"/>
      <c r="I125" s="210">
        <v>2359286</v>
      </c>
      <c r="J125" s="210">
        <v>6998438593</v>
      </c>
      <c r="K125" s="25"/>
      <c r="L125" s="210">
        <v>33330</v>
      </c>
      <c r="M125" s="210">
        <v>90944448</v>
      </c>
      <c r="N125" s="210"/>
      <c r="O125" s="210">
        <v>4546528</v>
      </c>
      <c r="P125" s="210"/>
      <c r="Q125" s="254" t="s">
        <v>648</v>
      </c>
      <c r="R125" s="210"/>
      <c r="S125" s="210">
        <v>12948743577</v>
      </c>
      <c r="T125" s="210"/>
      <c r="U125" s="6">
        <v>13874791809</v>
      </c>
      <c r="V125" s="25"/>
      <c r="W125" s="26">
        <f>U125/درآمدها!$J$5</f>
        <v>3.5444947899445547E-3</v>
      </c>
      <c r="X125" s="172"/>
      <c r="Y125" s="209"/>
      <c r="Z125" s="181"/>
    </row>
    <row r="126" spans="1:26">
      <c r="A126" s="117" t="s">
        <v>153</v>
      </c>
      <c r="C126" s="210">
        <v>364746</v>
      </c>
      <c r="D126" s="210"/>
      <c r="E126" s="210">
        <v>4019059954</v>
      </c>
      <c r="F126" s="210"/>
      <c r="G126" s="6">
        <v>2989750182</v>
      </c>
      <c r="H126" s="210"/>
      <c r="I126" s="210">
        <v>481890</v>
      </c>
      <c r="J126" s="210">
        <v>0</v>
      </c>
      <c r="K126" s="25"/>
      <c r="L126" s="210">
        <v>3778</v>
      </c>
      <c r="M126" s="210">
        <v>62045695</v>
      </c>
      <c r="N126" s="210"/>
      <c r="O126" s="210">
        <v>722835</v>
      </c>
      <c r="P126" s="210"/>
      <c r="Q126" s="254" t="s">
        <v>649</v>
      </c>
      <c r="R126" s="210"/>
      <c r="S126" s="210">
        <v>3957014259</v>
      </c>
      <c r="T126" s="210"/>
      <c r="U126" s="6">
        <v>3415432242</v>
      </c>
      <c r="V126" s="25"/>
      <c r="W126" s="26">
        <f>U126/درآمدها!$J$5</f>
        <v>8.7251628376326358E-4</v>
      </c>
      <c r="X126" s="172"/>
      <c r="Y126" s="209"/>
      <c r="Z126" s="181"/>
    </row>
    <row r="127" spans="1:26">
      <c r="A127" s="117" t="s">
        <v>98</v>
      </c>
      <c r="C127" s="210">
        <v>2220572</v>
      </c>
      <c r="D127" s="210"/>
      <c r="E127" s="210">
        <v>8557388759</v>
      </c>
      <c r="F127" s="210"/>
      <c r="G127" s="6">
        <v>7967299123</v>
      </c>
      <c r="H127" s="210"/>
      <c r="I127" s="210">
        <v>0</v>
      </c>
      <c r="J127" s="210">
        <v>0</v>
      </c>
      <c r="K127" s="25"/>
      <c r="L127" s="210">
        <v>16336</v>
      </c>
      <c r="M127" s="210">
        <v>326156247</v>
      </c>
      <c r="N127" s="210"/>
      <c r="O127" s="210">
        <v>412273</v>
      </c>
      <c r="P127" s="210"/>
      <c r="Q127" s="254" t="s">
        <v>650</v>
      </c>
      <c r="R127" s="210"/>
      <c r="S127" s="210">
        <v>8231232512</v>
      </c>
      <c r="T127" s="210"/>
      <c r="U127" s="6">
        <v>8737361886</v>
      </c>
      <c r="V127" s="25"/>
      <c r="W127" s="26">
        <f>U127/درآمدها!$J$5</f>
        <v>2.2320719553210505E-3</v>
      </c>
      <c r="X127" s="172"/>
      <c r="Y127" s="209"/>
      <c r="Z127" s="181"/>
    </row>
    <row r="128" spans="1:26">
      <c r="A128" s="117" t="s">
        <v>229</v>
      </c>
      <c r="C128" s="210">
        <v>244723</v>
      </c>
      <c r="D128" s="210"/>
      <c r="E128" s="210">
        <v>2900588242</v>
      </c>
      <c r="F128" s="210"/>
      <c r="G128" s="6">
        <v>2362848202</v>
      </c>
      <c r="H128" s="210"/>
      <c r="I128" s="210">
        <v>711674</v>
      </c>
      <c r="J128" s="210">
        <v>3054226473</v>
      </c>
      <c r="K128" s="25"/>
      <c r="L128" s="210">
        <v>14152</v>
      </c>
      <c r="M128" s="210">
        <v>59617969</v>
      </c>
      <c r="N128" s="210"/>
      <c r="O128" s="210">
        <v>1366720</v>
      </c>
      <c r="P128" s="210"/>
      <c r="Q128" s="254" t="s">
        <v>651</v>
      </c>
      <c r="R128" s="210"/>
      <c r="S128" s="210">
        <v>5895196746</v>
      </c>
      <c r="T128" s="210"/>
      <c r="U128" s="6">
        <v>6181575476</v>
      </c>
      <c r="V128" s="25"/>
      <c r="W128" s="26">
        <f>U128/درآمدها!$J$5</f>
        <v>1.5791633034896106E-3</v>
      </c>
      <c r="X128" s="172"/>
      <c r="Y128" s="209"/>
      <c r="Z128" s="181"/>
    </row>
    <row r="129" spans="1:28">
      <c r="A129" s="117" t="s">
        <v>102</v>
      </c>
      <c r="C129" s="210">
        <v>428609</v>
      </c>
      <c r="D129" s="210"/>
      <c r="E129" s="210">
        <v>7420621005</v>
      </c>
      <c r="F129" s="210"/>
      <c r="G129" s="6">
        <v>7410180767</v>
      </c>
      <c r="H129" s="210"/>
      <c r="I129" s="210">
        <v>447331</v>
      </c>
      <c r="J129" s="210">
        <v>3976175827</v>
      </c>
      <c r="K129" s="25"/>
      <c r="L129" s="210">
        <v>16079</v>
      </c>
      <c r="M129" s="210">
        <v>112527648</v>
      </c>
      <c r="N129" s="210"/>
      <c r="O129" s="210">
        <v>1503847</v>
      </c>
      <c r="P129" s="210"/>
      <c r="Q129" s="254" t="s">
        <v>652</v>
      </c>
      <c r="R129" s="210"/>
      <c r="S129" s="210">
        <v>11284269184</v>
      </c>
      <c r="T129" s="210"/>
      <c r="U129" s="6">
        <v>13439143005</v>
      </c>
      <c r="V129" s="25"/>
      <c r="W129" s="26">
        <f>U129/درآمدها!$J$5</f>
        <v>3.4332026756353547E-3</v>
      </c>
      <c r="X129" s="172"/>
      <c r="Y129" s="209"/>
      <c r="Z129" s="181"/>
      <c r="AA129" s="181"/>
      <c r="AB129" s="172"/>
    </row>
    <row r="130" spans="1:28">
      <c r="A130" s="117" t="s">
        <v>100</v>
      </c>
      <c r="C130" s="210">
        <v>669198</v>
      </c>
      <c r="D130" s="210"/>
      <c r="E130" s="210">
        <v>2770332779</v>
      </c>
      <c r="F130" s="210"/>
      <c r="G130" s="6">
        <v>1962887515</v>
      </c>
      <c r="H130" s="210"/>
      <c r="I130" s="210">
        <v>1356597</v>
      </c>
      <c r="J130" s="210">
        <v>6513997526</v>
      </c>
      <c r="K130" s="25"/>
      <c r="L130" s="210">
        <v>11401</v>
      </c>
      <c r="M130" s="210">
        <v>58879453</v>
      </c>
      <c r="N130" s="210"/>
      <c r="O130" s="210">
        <v>1845104</v>
      </c>
      <c r="P130" s="210"/>
      <c r="Q130" s="254" t="s">
        <v>653</v>
      </c>
      <c r="R130" s="210"/>
      <c r="S130" s="210">
        <v>9225450852</v>
      </c>
      <c r="T130" s="210"/>
      <c r="U130" s="6">
        <v>9808903880</v>
      </c>
      <c r="V130" s="25"/>
      <c r="W130" s="26">
        <f>U130/درآمدها!$J$5</f>
        <v>2.5058111989236932E-3</v>
      </c>
      <c r="X130" s="172"/>
      <c r="Y130" s="209"/>
      <c r="Z130" s="181"/>
    </row>
    <row r="131" spans="1:28">
      <c r="A131" s="117" t="s">
        <v>152</v>
      </c>
      <c r="C131" s="210">
        <v>1072595</v>
      </c>
      <c r="D131" s="210"/>
      <c r="E131" s="210">
        <v>12888109645</v>
      </c>
      <c r="F131" s="210"/>
      <c r="G131" s="6">
        <v>11723621328</v>
      </c>
      <c r="H131" s="210"/>
      <c r="I131" s="210">
        <v>1976334</v>
      </c>
      <c r="J131" s="210">
        <v>12751333611</v>
      </c>
      <c r="K131" s="25"/>
      <c r="L131" s="210">
        <v>25981</v>
      </c>
      <c r="M131" s="210">
        <v>168078916</v>
      </c>
      <c r="N131" s="210"/>
      <c r="O131" s="210">
        <v>3942548</v>
      </c>
      <c r="P131" s="210"/>
      <c r="Q131" s="254" t="s">
        <v>654</v>
      </c>
      <c r="R131" s="210"/>
      <c r="S131" s="210">
        <v>25471364340</v>
      </c>
      <c r="T131" s="210"/>
      <c r="U131" s="6">
        <v>26689001809</v>
      </c>
      <c r="V131" s="25"/>
      <c r="W131" s="26">
        <f>U131/درآمدها!$J$5</f>
        <v>6.8180502571187291E-3</v>
      </c>
      <c r="X131" s="172"/>
      <c r="Y131" s="209"/>
      <c r="Z131" s="181"/>
    </row>
    <row r="132" spans="1:28">
      <c r="A132" s="117" t="s">
        <v>163</v>
      </c>
      <c r="C132" s="210">
        <v>499908</v>
      </c>
      <c r="D132" s="210"/>
      <c r="E132" s="210">
        <v>2783936434</v>
      </c>
      <c r="F132" s="210"/>
      <c r="G132" s="6">
        <v>3824580180</v>
      </c>
      <c r="H132" s="210"/>
      <c r="I132" s="210">
        <v>125320</v>
      </c>
      <c r="J132" s="210">
        <v>1952312685</v>
      </c>
      <c r="K132" s="25"/>
      <c r="L132" s="210">
        <v>3481</v>
      </c>
      <c r="M132" s="210">
        <v>37680737</v>
      </c>
      <c r="N132" s="210"/>
      <c r="O132" s="210">
        <v>379023</v>
      </c>
      <c r="P132" s="210"/>
      <c r="Q132" s="254" t="s">
        <v>655</v>
      </c>
      <c r="R132" s="210"/>
      <c r="S132" s="210">
        <v>4698568382</v>
      </c>
      <c r="T132" s="210"/>
      <c r="U132" s="6">
        <v>5775850579</v>
      </c>
      <c r="V132" s="25"/>
      <c r="W132" s="26">
        <f>U132/درآمدها!$J$5</f>
        <v>1.4755156377542255E-3</v>
      </c>
      <c r="X132" s="172"/>
      <c r="Y132" s="209"/>
      <c r="Z132" s="181"/>
    </row>
    <row r="133" spans="1:28">
      <c r="A133" s="117" t="s">
        <v>262</v>
      </c>
      <c r="C133" s="210">
        <v>1992195</v>
      </c>
      <c r="D133" s="210"/>
      <c r="E133" s="210">
        <v>8884883012</v>
      </c>
      <c r="F133" s="210"/>
      <c r="G133" s="6">
        <v>17339627997</v>
      </c>
      <c r="H133" s="210"/>
      <c r="I133" s="210">
        <v>493851</v>
      </c>
      <c r="J133" s="210">
        <v>6462307243</v>
      </c>
      <c r="K133" s="25"/>
      <c r="L133" s="210">
        <v>206247</v>
      </c>
      <c r="M133" s="210">
        <v>1479144022</v>
      </c>
      <c r="N133" s="210"/>
      <c r="O133" s="210">
        <v>1526483</v>
      </c>
      <c r="P133" s="210"/>
      <c r="Q133" s="254" t="s">
        <v>656</v>
      </c>
      <c r="R133" s="210"/>
      <c r="S133" s="210">
        <v>13868046233</v>
      </c>
      <c r="T133" s="210"/>
      <c r="U133" s="6">
        <v>19650335522</v>
      </c>
      <c r="V133" s="25"/>
      <c r="W133" s="26">
        <f>U133/درآمدها!$J$5</f>
        <v>5.0199320348152552E-3</v>
      </c>
      <c r="X133" s="172"/>
      <c r="Y133" s="209"/>
      <c r="Z133" s="181"/>
    </row>
    <row r="134" spans="1:28">
      <c r="A134" s="117" t="s">
        <v>201</v>
      </c>
      <c r="C134" s="210">
        <v>257184</v>
      </c>
      <c r="D134" s="210"/>
      <c r="E134" s="210">
        <v>18124206533</v>
      </c>
      <c r="F134" s="210"/>
      <c r="G134" s="6">
        <v>18911729179</v>
      </c>
      <c r="H134" s="210"/>
      <c r="I134" s="210">
        <v>2135961</v>
      </c>
      <c r="J134" s="210">
        <v>11869330513</v>
      </c>
      <c r="K134" s="25"/>
      <c r="L134" s="210">
        <v>58511</v>
      </c>
      <c r="M134" s="210">
        <v>220120579</v>
      </c>
      <c r="N134" s="210"/>
      <c r="O134" s="210">
        <v>6895107</v>
      </c>
      <c r="P134" s="210"/>
      <c r="Q134" s="254" t="s">
        <v>657</v>
      </c>
      <c r="R134" s="210"/>
      <c r="S134" s="210">
        <v>29773416467</v>
      </c>
      <c r="T134" s="210"/>
      <c r="U134" s="6">
        <v>37491823692</v>
      </c>
      <c r="V134" s="25"/>
      <c r="W134" s="26">
        <f>U134/درآمدها!$J$5</f>
        <v>9.5777706484657943E-3</v>
      </c>
      <c r="X134" s="172"/>
      <c r="Y134" s="209"/>
      <c r="Z134" s="181"/>
    </row>
    <row r="135" spans="1:28">
      <c r="A135" s="117" t="s">
        <v>208</v>
      </c>
      <c r="C135" s="210">
        <v>1238879</v>
      </c>
      <c r="D135" s="210"/>
      <c r="E135" s="210">
        <v>8723281123</v>
      </c>
      <c r="F135" s="210"/>
      <c r="G135" s="6">
        <v>7489323202</v>
      </c>
      <c r="H135" s="210"/>
      <c r="I135" s="210">
        <v>996327</v>
      </c>
      <c r="J135" s="210">
        <v>15077451595</v>
      </c>
      <c r="K135" s="25"/>
      <c r="L135" s="210">
        <v>8326</v>
      </c>
      <c r="M135" s="210">
        <v>117512925</v>
      </c>
      <c r="N135" s="210"/>
      <c r="O135" s="210">
        <v>1606061</v>
      </c>
      <c r="P135" s="210"/>
      <c r="Q135" s="254" t="s">
        <v>658</v>
      </c>
      <c r="R135" s="210"/>
      <c r="S135" s="210">
        <v>23683219793</v>
      </c>
      <c r="T135" s="210"/>
      <c r="U135" s="6">
        <v>26182680969</v>
      </c>
      <c r="V135" s="25"/>
      <c r="W135" s="26">
        <f>U135/درآمدها!$J$5</f>
        <v>6.6887040583342378E-3</v>
      </c>
      <c r="X135" s="172"/>
      <c r="Y135" s="209"/>
      <c r="Z135" s="181"/>
    </row>
    <row r="136" spans="1:28">
      <c r="A136" s="117" t="s">
        <v>101</v>
      </c>
      <c r="C136" s="210">
        <v>4817657</v>
      </c>
      <c r="D136" s="210"/>
      <c r="E136" s="210">
        <v>12069615311</v>
      </c>
      <c r="F136" s="210"/>
      <c r="G136" s="6">
        <v>11643906262</v>
      </c>
      <c r="H136" s="210"/>
      <c r="I136" s="210">
        <v>1264316</v>
      </c>
      <c r="J136" s="210">
        <v>3898404184</v>
      </c>
      <c r="K136" s="25"/>
      <c r="L136" s="210">
        <v>59965</v>
      </c>
      <c r="M136" s="210">
        <v>151750160</v>
      </c>
      <c r="N136" s="210"/>
      <c r="O136" s="210">
        <v>5973733</v>
      </c>
      <c r="P136" s="210"/>
      <c r="Q136" s="254" t="s">
        <v>659</v>
      </c>
      <c r="R136" s="210"/>
      <c r="S136" s="210">
        <v>15816269335</v>
      </c>
      <c r="T136" s="210"/>
      <c r="U136" s="6">
        <v>21021190085</v>
      </c>
      <c r="V136" s="25"/>
      <c r="W136" s="26">
        <f>U136/درآمدها!$J$5</f>
        <v>5.3701345404249898E-3</v>
      </c>
      <c r="X136" s="172"/>
      <c r="Y136" s="209"/>
      <c r="Z136" s="181"/>
    </row>
    <row r="137" spans="1:28">
      <c r="A137" s="117" t="s">
        <v>119</v>
      </c>
      <c r="C137" s="210">
        <v>618060</v>
      </c>
      <c r="D137" s="210"/>
      <c r="E137" s="210">
        <v>48492939374</v>
      </c>
      <c r="F137" s="210"/>
      <c r="G137" s="6">
        <v>63028286902</v>
      </c>
      <c r="H137" s="210"/>
      <c r="I137" s="210">
        <v>6874742</v>
      </c>
      <c r="J137" s="210">
        <v>53922096764</v>
      </c>
      <c r="K137" s="25"/>
      <c r="L137" s="210">
        <v>117276</v>
      </c>
      <c r="M137" s="210">
        <v>656193276</v>
      </c>
      <c r="N137" s="210"/>
      <c r="O137" s="210">
        <v>15650250</v>
      </c>
      <c r="P137" s="210"/>
      <c r="Q137" s="254" t="s">
        <v>660</v>
      </c>
      <c r="R137" s="210"/>
      <c r="S137" s="210">
        <v>101758842862</v>
      </c>
      <c r="T137" s="210"/>
      <c r="U137" s="6">
        <v>123056906313</v>
      </c>
      <c r="V137" s="25"/>
      <c r="W137" s="26">
        <f>U137/درآمدها!$J$5</f>
        <v>3.1436476258346113E-2</v>
      </c>
      <c r="X137" s="172"/>
      <c r="Y137" s="209"/>
      <c r="Z137" s="181"/>
    </row>
    <row r="138" spans="1:28">
      <c r="A138" s="117" t="s">
        <v>192</v>
      </c>
      <c r="C138" s="210">
        <v>4769382</v>
      </c>
      <c r="D138" s="210"/>
      <c r="E138" s="210">
        <v>5224169875</v>
      </c>
      <c r="F138" s="210"/>
      <c r="G138" s="6">
        <v>5055173605</v>
      </c>
      <c r="H138" s="210"/>
      <c r="I138" s="210">
        <v>0</v>
      </c>
      <c r="J138" s="210">
        <v>0</v>
      </c>
      <c r="K138" s="25"/>
      <c r="L138" s="210">
        <v>917948</v>
      </c>
      <c r="M138" s="210">
        <v>5224169875</v>
      </c>
      <c r="N138" s="210"/>
      <c r="O138" s="210">
        <v>0</v>
      </c>
      <c r="P138" s="210"/>
      <c r="Q138" s="254"/>
      <c r="R138" s="210"/>
      <c r="S138" s="210">
        <v>0</v>
      </c>
      <c r="T138" s="210"/>
      <c r="U138" s="6">
        <v>0</v>
      </c>
      <c r="V138" s="25"/>
      <c r="W138" s="26">
        <f>U138/درآمدها!$J$5</f>
        <v>0</v>
      </c>
      <c r="X138" s="172"/>
      <c r="Y138" s="209"/>
      <c r="Z138" s="181"/>
    </row>
    <row r="139" spans="1:28">
      <c r="A139" s="117" t="s">
        <v>518</v>
      </c>
      <c r="C139" s="210">
        <v>8892784</v>
      </c>
      <c r="D139" s="210"/>
      <c r="E139" s="210">
        <v>2742205906</v>
      </c>
      <c r="F139" s="210"/>
      <c r="G139" s="6">
        <v>2058539380</v>
      </c>
      <c r="H139" s="210"/>
      <c r="I139" s="210">
        <v>0</v>
      </c>
      <c r="J139" s="210">
        <v>0</v>
      </c>
      <c r="K139" s="25"/>
      <c r="L139" s="210">
        <v>0</v>
      </c>
      <c r="M139" s="210">
        <v>0</v>
      </c>
      <c r="N139" s="210"/>
      <c r="O139" s="210">
        <v>274650</v>
      </c>
      <c r="P139" s="210"/>
      <c r="Q139" s="254" t="s">
        <v>661</v>
      </c>
      <c r="R139" s="210"/>
      <c r="S139" s="210">
        <v>2742205906</v>
      </c>
      <c r="T139" s="210"/>
      <c r="U139" s="6">
        <v>2711047220</v>
      </c>
      <c r="V139" s="25"/>
      <c r="W139" s="26">
        <f>U139/درآمدها!$J$5</f>
        <v>6.9257203126828323E-4</v>
      </c>
      <c r="X139" s="172"/>
      <c r="Y139" s="209"/>
      <c r="Z139" s="181"/>
    </row>
    <row r="140" spans="1:28">
      <c r="A140" s="117" t="s">
        <v>137</v>
      </c>
      <c r="C140" s="210">
        <v>917948</v>
      </c>
      <c r="D140" s="210"/>
      <c r="E140" s="210">
        <v>2526557780</v>
      </c>
      <c r="F140" s="210"/>
      <c r="G140" s="6">
        <v>2247584448</v>
      </c>
      <c r="H140" s="210"/>
      <c r="I140" s="210">
        <v>0</v>
      </c>
      <c r="J140" s="210">
        <v>0</v>
      </c>
      <c r="K140" s="25"/>
      <c r="L140" s="210">
        <v>3860</v>
      </c>
      <c r="M140" s="210">
        <v>42399650</v>
      </c>
      <c r="N140" s="210"/>
      <c r="O140" s="210">
        <v>226154</v>
      </c>
      <c r="P140" s="210"/>
      <c r="Q140" s="254" t="s">
        <v>662</v>
      </c>
      <c r="R140" s="210"/>
      <c r="S140" s="210">
        <v>2484158130</v>
      </c>
      <c r="T140" s="210"/>
      <c r="U140" s="6">
        <v>2560567494</v>
      </c>
      <c r="V140" s="25"/>
      <c r="W140" s="26">
        <f>U140/درآمدها!$J$5</f>
        <v>6.5413004149707059E-4</v>
      </c>
      <c r="X140" s="172"/>
      <c r="Y140" s="209"/>
      <c r="Z140" s="181"/>
    </row>
    <row r="141" spans="1:28">
      <c r="A141" s="117" t="s">
        <v>159</v>
      </c>
      <c r="C141" s="210">
        <v>274650</v>
      </c>
      <c r="D141" s="210"/>
      <c r="E141" s="210">
        <v>15348730684</v>
      </c>
      <c r="F141" s="210"/>
      <c r="G141" s="6">
        <v>19076072194</v>
      </c>
      <c r="H141" s="210"/>
      <c r="I141" s="210">
        <v>578684</v>
      </c>
      <c r="J141" s="210">
        <v>3026645786</v>
      </c>
      <c r="K141" s="25"/>
      <c r="L141" s="210">
        <v>59579</v>
      </c>
      <c r="M141" s="210">
        <v>189942540</v>
      </c>
      <c r="N141" s="210"/>
      <c r="O141" s="210">
        <v>5333519</v>
      </c>
      <c r="P141" s="210"/>
      <c r="Q141" s="254" t="s">
        <v>663</v>
      </c>
      <c r="R141" s="210"/>
      <c r="S141" s="210">
        <v>18185433930</v>
      </c>
      <c r="T141" s="210"/>
      <c r="U141" s="6">
        <v>26503621030</v>
      </c>
      <c r="V141" s="25"/>
      <c r="W141" s="26">
        <f>U141/درآمدها!$J$5</f>
        <v>6.7706923425376155E-3</v>
      </c>
      <c r="X141" s="172"/>
      <c r="Y141" s="209"/>
      <c r="Z141" s="181"/>
    </row>
    <row r="142" spans="1:28">
      <c r="A142" s="117" t="s">
        <v>272</v>
      </c>
      <c r="C142" s="210">
        <v>230014</v>
      </c>
      <c r="D142" s="210"/>
      <c r="E142" s="210">
        <v>6690625080</v>
      </c>
      <c r="F142" s="210"/>
      <c r="G142" s="6">
        <v>6689267825</v>
      </c>
      <c r="H142" s="210"/>
      <c r="I142" s="210">
        <v>22584</v>
      </c>
      <c r="J142" s="210">
        <v>1997056764</v>
      </c>
      <c r="K142" s="25"/>
      <c r="L142" s="210">
        <v>1166</v>
      </c>
      <c r="M142" s="210">
        <v>86715451</v>
      </c>
      <c r="N142" s="210"/>
      <c r="O142" s="210">
        <v>111382</v>
      </c>
      <c r="P142" s="210"/>
      <c r="Q142" s="254" t="s">
        <v>664</v>
      </c>
      <c r="R142" s="210"/>
      <c r="S142" s="210">
        <v>8600966393</v>
      </c>
      <c r="T142" s="210"/>
      <c r="U142" s="6">
        <v>10222710856</v>
      </c>
      <c r="V142" s="25"/>
      <c r="W142" s="26">
        <f>U142/درآمدها!$J$5</f>
        <v>2.6115235361368035E-3</v>
      </c>
      <c r="X142" s="172"/>
      <c r="Y142" s="209"/>
      <c r="Z142" s="181"/>
    </row>
    <row r="143" spans="1:28">
      <c r="A143" s="117" t="s">
        <v>138</v>
      </c>
      <c r="C143" s="210">
        <v>4814414</v>
      </c>
      <c r="D143" s="210"/>
      <c r="E143" s="210">
        <v>8437266697</v>
      </c>
      <c r="F143" s="210"/>
      <c r="G143" s="6">
        <v>6619269072</v>
      </c>
      <c r="H143" s="210"/>
      <c r="I143" s="210">
        <v>2586431</v>
      </c>
      <c r="J143" s="210">
        <v>6854464642</v>
      </c>
      <c r="K143" s="25"/>
      <c r="L143" s="210">
        <v>34707</v>
      </c>
      <c r="M143" s="210">
        <v>104223438</v>
      </c>
      <c r="N143" s="210"/>
      <c r="O143" s="210">
        <v>5361382</v>
      </c>
      <c r="P143" s="210"/>
      <c r="Q143" s="254" t="s">
        <v>665</v>
      </c>
      <c r="R143" s="210"/>
      <c r="S143" s="210">
        <v>15187507901</v>
      </c>
      <c r="T143" s="210"/>
      <c r="U143" s="6">
        <v>14831947790</v>
      </c>
      <c r="V143" s="25"/>
      <c r="W143" s="26">
        <f>U143/درآمدها!$J$5</f>
        <v>3.7890126489886168E-3</v>
      </c>
      <c r="X143" s="172"/>
      <c r="Y143" s="209"/>
      <c r="Z143" s="181"/>
    </row>
    <row r="144" spans="1:28">
      <c r="A144" s="117" t="s">
        <v>223</v>
      </c>
      <c r="C144" s="210">
        <v>89964</v>
      </c>
      <c r="D144" s="210"/>
      <c r="E144" s="210">
        <v>13439565738</v>
      </c>
      <c r="F144" s="210"/>
      <c r="G144" s="6">
        <v>13801408542</v>
      </c>
      <c r="H144" s="210"/>
      <c r="I144" s="210">
        <v>856355</v>
      </c>
      <c r="J144" s="210">
        <v>4936129981</v>
      </c>
      <c r="K144" s="25"/>
      <c r="L144" s="210">
        <v>35109</v>
      </c>
      <c r="M144" s="210">
        <v>172984144</v>
      </c>
      <c r="N144" s="210"/>
      <c r="O144" s="210">
        <v>3548951</v>
      </c>
      <c r="P144" s="210"/>
      <c r="Q144" s="254" t="s">
        <v>666</v>
      </c>
      <c r="R144" s="210"/>
      <c r="S144" s="210">
        <v>18202711575</v>
      </c>
      <c r="T144" s="210"/>
      <c r="U144" s="6">
        <v>23318987646</v>
      </c>
      <c r="V144" s="25"/>
      <c r="W144" s="26">
        <f>U144/درآمدها!$J$5</f>
        <v>5.9571366083067427E-3</v>
      </c>
      <c r="X144" s="172"/>
      <c r="Y144" s="209"/>
      <c r="Z144" s="181"/>
    </row>
    <row r="145" spans="1:26">
      <c r="A145" s="117" t="s">
        <v>228</v>
      </c>
      <c r="C145" s="210">
        <v>2809658</v>
      </c>
      <c r="D145" s="210"/>
      <c r="E145" s="210">
        <v>10613101945</v>
      </c>
      <c r="F145" s="210"/>
      <c r="G145" s="6">
        <v>9701686051</v>
      </c>
      <c r="H145" s="210"/>
      <c r="I145" s="210">
        <v>311344</v>
      </c>
      <c r="J145" s="210">
        <v>6982517287</v>
      </c>
      <c r="K145" s="25"/>
      <c r="L145" s="210">
        <v>6028</v>
      </c>
      <c r="M145" s="210">
        <v>129790165</v>
      </c>
      <c r="N145" s="210"/>
      <c r="O145" s="210">
        <v>798233</v>
      </c>
      <c r="P145" s="210"/>
      <c r="Q145" s="254" t="s">
        <v>667</v>
      </c>
      <c r="R145" s="210"/>
      <c r="S145" s="210">
        <v>17465829067</v>
      </c>
      <c r="T145" s="210"/>
      <c r="U145" s="6">
        <v>18353271120</v>
      </c>
      <c r="V145" s="25"/>
      <c r="W145" s="26">
        <f>U145/درآمدها!$J$5</f>
        <v>4.6885801789892543E-3</v>
      </c>
      <c r="X145" s="172"/>
      <c r="Y145" s="209"/>
      <c r="Z145" s="181"/>
    </row>
    <row r="146" spans="1:26">
      <c r="A146" s="117" t="s">
        <v>209</v>
      </c>
      <c r="C146" s="210">
        <v>2727705</v>
      </c>
      <c r="D146" s="210"/>
      <c r="E146" s="210">
        <v>8774446032</v>
      </c>
      <c r="F146" s="210"/>
      <c r="G146" s="6">
        <v>10678754555</v>
      </c>
      <c r="H146" s="210"/>
      <c r="I146" s="210">
        <v>769577</v>
      </c>
      <c r="J146" s="210">
        <v>6519977601</v>
      </c>
      <c r="K146" s="25"/>
      <c r="L146" s="210">
        <v>16211</v>
      </c>
      <c r="M146" s="210">
        <v>111091057</v>
      </c>
      <c r="N146" s="210"/>
      <c r="O146" s="210">
        <v>2033780</v>
      </c>
      <c r="P146" s="210"/>
      <c r="Q146" s="254" t="s">
        <v>668</v>
      </c>
      <c r="R146" s="210"/>
      <c r="S146" s="210">
        <v>15183332576</v>
      </c>
      <c r="T146" s="210"/>
      <c r="U146" s="6">
        <v>17709908122</v>
      </c>
      <c r="V146" s="25"/>
      <c r="W146" s="26">
        <f>U146/درآمدها!$J$5</f>
        <v>4.5242247907538134E-3</v>
      </c>
      <c r="X146" s="172"/>
      <c r="Y146" s="209"/>
      <c r="Z146" s="181"/>
    </row>
    <row r="147" spans="1:26">
      <c r="A147" s="117" t="s">
        <v>114</v>
      </c>
      <c r="C147" s="210">
        <v>492917</v>
      </c>
      <c r="D147" s="210"/>
      <c r="E147" s="210">
        <v>3671187022</v>
      </c>
      <c r="F147" s="210"/>
      <c r="G147" s="6">
        <v>2400501571</v>
      </c>
      <c r="H147" s="210"/>
      <c r="I147" s="210">
        <v>2888598</v>
      </c>
      <c r="J147" s="210">
        <v>9003098938</v>
      </c>
      <c r="K147" s="25"/>
      <c r="L147" s="210">
        <v>14546</v>
      </c>
      <c r="M147" s="210">
        <v>60789849</v>
      </c>
      <c r="N147" s="210"/>
      <c r="O147" s="210">
        <v>3752506</v>
      </c>
      <c r="P147" s="210"/>
      <c r="Q147" s="254" t="s">
        <v>669</v>
      </c>
      <c r="R147" s="210"/>
      <c r="S147" s="210">
        <v>12613496111</v>
      </c>
      <c r="T147" s="210"/>
      <c r="U147" s="6">
        <v>12145461491</v>
      </c>
      <c r="V147" s="25"/>
      <c r="W147" s="26">
        <f>U147/درآمدها!$J$5</f>
        <v>3.1027150222461201E-3</v>
      </c>
      <c r="X147" s="172"/>
      <c r="Y147" s="209"/>
      <c r="Z147" s="181"/>
    </row>
    <row r="148" spans="1:26">
      <c r="A148" s="117" t="s">
        <v>491</v>
      </c>
      <c r="C148" s="210">
        <v>1280414</v>
      </c>
      <c r="D148" s="210"/>
      <c r="E148" s="210">
        <v>8139889023</v>
      </c>
      <c r="F148" s="210"/>
      <c r="G148" s="6">
        <v>10239295528</v>
      </c>
      <c r="H148" s="210"/>
      <c r="I148" s="210">
        <v>556325</v>
      </c>
      <c r="J148" s="210">
        <v>11884442322</v>
      </c>
      <c r="K148" s="25"/>
      <c r="L148" s="210">
        <v>7483</v>
      </c>
      <c r="M148" s="210">
        <v>99344005</v>
      </c>
      <c r="N148" s="210"/>
      <c r="O148" s="210">
        <v>1161972</v>
      </c>
      <c r="P148" s="210"/>
      <c r="Q148" s="254" t="s">
        <v>670</v>
      </c>
      <c r="R148" s="210"/>
      <c r="S148" s="210">
        <v>19924987340</v>
      </c>
      <c r="T148" s="210"/>
      <c r="U148" s="6">
        <v>25411281868</v>
      </c>
      <c r="V148" s="25"/>
      <c r="W148" s="26">
        <f>U148/درآمدها!$J$5</f>
        <v>6.491640193729881E-3</v>
      </c>
      <c r="X148" s="172"/>
      <c r="Y148" s="209"/>
      <c r="Z148" s="181"/>
    </row>
    <row r="149" spans="1:26">
      <c r="A149" s="117" t="s">
        <v>162</v>
      </c>
      <c r="C149" s="210">
        <v>878454</v>
      </c>
      <c r="D149" s="210"/>
      <c r="E149" s="210">
        <v>9927083670</v>
      </c>
      <c r="F149" s="210"/>
      <c r="G149" s="6">
        <v>11635980114</v>
      </c>
      <c r="H149" s="210"/>
      <c r="I149" s="210">
        <v>251876</v>
      </c>
      <c r="J149" s="210">
        <v>8494003314</v>
      </c>
      <c r="K149" s="25"/>
      <c r="L149" s="210">
        <v>4900</v>
      </c>
      <c r="M149" s="210">
        <v>132354744</v>
      </c>
      <c r="N149" s="210"/>
      <c r="O149" s="210">
        <v>621796</v>
      </c>
      <c r="P149" s="210"/>
      <c r="Q149" s="254" t="s">
        <v>671</v>
      </c>
      <c r="R149" s="210"/>
      <c r="S149" s="210">
        <v>18288732240</v>
      </c>
      <c r="T149" s="210"/>
      <c r="U149" s="6">
        <v>21658094840</v>
      </c>
      <c r="V149" s="25"/>
      <c r="W149" s="26">
        <f>U149/درآمدها!$J$5</f>
        <v>5.5328400870641881E-3</v>
      </c>
      <c r="X149" s="172"/>
      <c r="Y149" s="209"/>
      <c r="Z149" s="181"/>
    </row>
    <row r="150" spans="1:26">
      <c r="A150" s="117" t="s">
        <v>165</v>
      </c>
      <c r="C150" s="210">
        <v>613130</v>
      </c>
      <c r="D150" s="210"/>
      <c r="E150" s="210">
        <v>4527196114</v>
      </c>
      <c r="F150" s="210"/>
      <c r="G150" s="6">
        <v>3759922091</v>
      </c>
      <c r="H150" s="210"/>
      <c r="I150" s="210">
        <v>872529</v>
      </c>
      <c r="J150" s="210">
        <v>7486057219</v>
      </c>
      <c r="K150" s="25"/>
      <c r="L150" s="210">
        <v>8932</v>
      </c>
      <c r="M150" s="210">
        <v>78780675</v>
      </c>
      <c r="N150" s="210"/>
      <c r="O150" s="210">
        <v>1368594</v>
      </c>
      <c r="P150" s="210"/>
      <c r="Q150" s="254" t="s">
        <v>556</v>
      </c>
      <c r="R150" s="210"/>
      <c r="S150" s="210">
        <v>11934472658</v>
      </c>
      <c r="T150" s="210"/>
      <c r="U150" s="6">
        <v>12053594673</v>
      </c>
      <c r="V150" s="25"/>
      <c r="W150" s="26">
        <f>U150/درآمدها!$J$5</f>
        <v>3.079246456933409E-3</v>
      </c>
      <c r="X150" s="172"/>
      <c r="Y150" s="209"/>
      <c r="Z150" s="181"/>
    </row>
    <row r="151" spans="1:26">
      <c r="A151" s="117" t="s">
        <v>94</v>
      </c>
      <c r="C151" s="210">
        <v>374820</v>
      </c>
      <c r="D151" s="210"/>
      <c r="E151" s="210">
        <v>5090296515</v>
      </c>
      <c r="F151" s="210"/>
      <c r="G151" s="6">
        <v>5409676178</v>
      </c>
      <c r="H151" s="210"/>
      <c r="I151" s="210">
        <v>562228</v>
      </c>
      <c r="J151" s="210">
        <v>3490746064</v>
      </c>
      <c r="K151" s="25"/>
      <c r="L151" s="210">
        <v>13831</v>
      </c>
      <c r="M151" s="210">
        <v>71541617</v>
      </c>
      <c r="N151" s="210"/>
      <c r="O151" s="210">
        <v>1532494</v>
      </c>
      <c r="P151" s="210"/>
      <c r="Q151" s="254" t="s">
        <v>529</v>
      </c>
      <c r="R151" s="210"/>
      <c r="S151" s="210">
        <v>8509500962</v>
      </c>
      <c r="T151" s="210"/>
      <c r="U151" s="6">
        <v>9841006771</v>
      </c>
      <c r="V151" s="25"/>
      <c r="W151" s="26">
        <f>U151/درآمدها!$J$5</f>
        <v>2.514012297106503E-3</v>
      </c>
      <c r="X151" s="172"/>
      <c r="Y151" s="209"/>
      <c r="Z151" s="181"/>
    </row>
    <row r="152" spans="1:26">
      <c r="A152" s="117" t="s">
        <v>224</v>
      </c>
      <c r="C152" s="210">
        <v>504997</v>
      </c>
      <c r="D152" s="210"/>
      <c r="E152" s="210">
        <v>4089350137</v>
      </c>
      <c r="F152" s="210"/>
      <c r="G152" s="6">
        <v>4179890589</v>
      </c>
      <c r="H152" s="210"/>
      <c r="I152" s="210">
        <v>802449</v>
      </c>
      <c r="J152" s="210">
        <v>8865095043</v>
      </c>
      <c r="K152" s="25"/>
      <c r="L152" s="210">
        <v>7546</v>
      </c>
      <c r="M152" s="210">
        <v>67056186</v>
      </c>
      <c r="N152" s="210"/>
      <c r="O152" s="210">
        <v>1260563</v>
      </c>
      <c r="P152" s="210"/>
      <c r="Q152" s="254" t="s">
        <v>672</v>
      </c>
      <c r="R152" s="210"/>
      <c r="S152" s="210">
        <v>12887388994</v>
      </c>
      <c r="T152" s="210"/>
      <c r="U152" s="6">
        <v>14635771756</v>
      </c>
      <c r="V152" s="25"/>
      <c r="W152" s="26">
        <f>U152/درآمدها!$J$5</f>
        <v>3.7388969470741602E-3</v>
      </c>
      <c r="X152" s="172"/>
      <c r="Y152" s="209"/>
      <c r="Z152" s="181"/>
    </row>
    <row r="153" spans="1:26">
      <c r="A153" s="117" t="s">
        <v>127</v>
      </c>
      <c r="C153" s="210">
        <v>984097</v>
      </c>
      <c r="D153" s="210"/>
      <c r="E153" s="210">
        <v>8879740783</v>
      </c>
      <c r="F153" s="210"/>
      <c r="G153" s="6">
        <v>8760482852</v>
      </c>
      <c r="H153" s="210"/>
      <c r="I153" s="210">
        <v>115779</v>
      </c>
      <c r="J153" s="210">
        <v>5515778072</v>
      </c>
      <c r="K153" s="25"/>
      <c r="L153" s="210">
        <v>3181</v>
      </c>
      <c r="M153" s="210">
        <v>137712023</v>
      </c>
      <c r="N153" s="210"/>
      <c r="O153" s="210">
        <v>317836</v>
      </c>
      <c r="P153" s="210"/>
      <c r="Q153" s="254" t="s">
        <v>673</v>
      </c>
      <c r="R153" s="210"/>
      <c r="S153" s="210">
        <v>14257806832</v>
      </c>
      <c r="T153" s="210"/>
      <c r="U153" s="6">
        <v>16555511495</v>
      </c>
      <c r="V153" s="25"/>
      <c r="W153" s="26">
        <f>U153/درآمدها!$J$5</f>
        <v>4.2293192609081749E-3</v>
      </c>
      <c r="X153" s="172"/>
      <c r="Y153" s="209"/>
      <c r="Z153" s="181"/>
    </row>
    <row r="154" spans="1:26">
      <c r="A154" s="117" t="s">
        <v>150</v>
      </c>
      <c r="C154" s="210">
        <v>465660</v>
      </c>
      <c r="D154" s="210"/>
      <c r="E154" s="210">
        <v>10118043745</v>
      </c>
      <c r="F154" s="210"/>
      <c r="G154" s="6">
        <v>8568475247</v>
      </c>
      <c r="H154" s="210"/>
      <c r="I154" s="210">
        <v>6673584</v>
      </c>
      <c r="J154" s="210">
        <v>19868205868</v>
      </c>
      <c r="K154" s="25"/>
      <c r="L154" s="210">
        <v>55903</v>
      </c>
      <c r="M154" s="210">
        <v>165631110</v>
      </c>
      <c r="N154" s="210"/>
      <c r="O154" s="210">
        <v>9934250</v>
      </c>
      <c r="P154" s="210"/>
      <c r="Q154" s="254" t="s">
        <v>674</v>
      </c>
      <c r="R154" s="210"/>
      <c r="S154" s="210">
        <v>29820618503</v>
      </c>
      <c r="T154" s="210"/>
      <c r="U154" s="6">
        <v>30810440586</v>
      </c>
      <c r="V154" s="25"/>
      <c r="W154" s="26">
        <f>U154/درآمدها!$J$5</f>
        <v>7.8709250298181002E-3</v>
      </c>
      <c r="X154" s="172"/>
      <c r="Y154" s="209"/>
      <c r="Z154" s="181"/>
    </row>
    <row r="155" spans="1:26">
      <c r="A155" s="117" t="s">
        <v>182</v>
      </c>
      <c r="C155" s="210">
        <v>205238</v>
      </c>
      <c r="D155" s="210"/>
      <c r="E155" s="210">
        <v>32306280304</v>
      </c>
      <c r="F155" s="210"/>
      <c r="G155" s="6">
        <v>30409439853</v>
      </c>
      <c r="H155" s="210"/>
      <c r="I155" s="210">
        <v>792836</v>
      </c>
      <c r="J155" s="210">
        <v>19415259057</v>
      </c>
      <c r="K155" s="25"/>
      <c r="L155" s="210">
        <v>20157</v>
      </c>
      <c r="M155" s="210">
        <v>401684027</v>
      </c>
      <c r="N155" s="210"/>
      <c r="O155" s="210">
        <v>2393848</v>
      </c>
      <c r="P155" s="210"/>
      <c r="Q155" s="254" t="s">
        <v>675</v>
      </c>
      <c r="R155" s="210"/>
      <c r="S155" s="210">
        <v>51319855334</v>
      </c>
      <c r="T155" s="210"/>
      <c r="U155" s="6">
        <v>60322976725</v>
      </c>
      <c r="V155" s="25"/>
      <c r="W155" s="26">
        <f>U155/درآمدها!$J$5</f>
        <v>1.5410283603463987E-2</v>
      </c>
      <c r="X155" s="172"/>
      <c r="Y155" s="209"/>
      <c r="Z155" s="181"/>
    </row>
    <row r="156" spans="1:26">
      <c r="A156" s="117" t="s">
        <v>178</v>
      </c>
      <c r="C156" s="210">
        <v>3316569</v>
      </c>
      <c r="D156" s="210"/>
      <c r="E156" s="210">
        <v>2252475264</v>
      </c>
      <c r="F156" s="210"/>
      <c r="G156" s="6">
        <v>2477330728</v>
      </c>
      <c r="H156" s="210"/>
      <c r="I156" s="210">
        <v>635049</v>
      </c>
      <c r="J156" s="210">
        <v>1498275895</v>
      </c>
      <c r="K156" s="25"/>
      <c r="L156" s="210">
        <v>3032</v>
      </c>
      <c r="M156" s="210">
        <v>32912167</v>
      </c>
      <c r="N156" s="210"/>
      <c r="O156" s="210">
        <v>839524</v>
      </c>
      <c r="P156" s="210"/>
      <c r="Q156" s="254" t="s">
        <v>676</v>
      </c>
      <c r="R156" s="210"/>
      <c r="S156" s="210">
        <v>3717838992</v>
      </c>
      <c r="T156" s="210"/>
      <c r="U156" s="6">
        <v>4791864558</v>
      </c>
      <c r="V156" s="25"/>
      <c r="W156" s="26">
        <f>U156/درآمدها!$J$5</f>
        <v>1.2241436984253467E-3</v>
      </c>
      <c r="X156" s="172"/>
      <c r="Y156" s="209"/>
      <c r="Z156" s="181"/>
    </row>
    <row r="157" spans="1:26">
      <c r="A157" s="117" t="s">
        <v>266</v>
      </c>
      <c r="C157" s="210">
        <v>1621169</v>
      </c>
      <c r="D157" s="210"/>
      <c r="E157" s="210">
        <v>5862333429</v>
      </c>
      <c r="F157" s="210"/>
      <c r="G157" s="6">
        <v>5878990483</v>
      </c>
      <c r="H157" s="210"/>
      <c r="I157" s="210">
        <v>35773</v>
      </c>
      <c r="J157" s="210">
        <v>997202588</v>
      </c>
      <c r="K157" s="25"/>
      <c r="L157" s="210">
        <v>3839</v>
      </c>
      <c r="M157" s="210">
        <v>93079121</v>
      </c>
      <c r="N157" s="210"/>
      <c r="O157" s="210">
        <v>279079</v>
      </c>
      <c r="P157" s="210"/>
      <c r="Q157" s="254" t="s">
        <v>677</v>
      </c>
      <c r="R157" s="210"/>
      <c r="S157" s="210">
        <v>6766456896</v>
      </c>
      <c r="T157" s="210"/>
      <c r="U157" s="6">
        <v>8378038097</v>
      </c>
      <c r="V157" s="25"/>
      <c r="W157" s="26">
        <f>U157/درآمدها!$J$5</f>
        <v>2.1402780519928946E-3</v>
      </c>
      <c r="X157" s="172"/>
      <c r="Y157" s="209"/>
      <c r="Z157" s="181"/>
    </row>
    <row r="158" spans="1:26">
      <c r="A158" s="117" t="s">
        <v>219</v>
      </c>
      <c r="C158" s="210">
        <v>207507</v>
      </c>
      <c r="D158" s="210"/>
      <c r="E158" s="210">
        <v>14641344410</v>
      </c>
      <c r="F158" s="210"/>
      <c r="G158" s="6">
        <v>15765105758</v>
      </c>
      <c r="H158" s="210"/>
      <c r="I158" s="210">
        <v>1368062</v>
      </c>
      <c r="J158" s="210">
        <v>8051021405</v>
      </c>
      <c r="K158" s="25"/>
      <c r="L158" s="210">
        <v>45621</v>
      </c>
      <c r="M158" s="210">
        <v>223974844</v>
      </c>
      <c r="N158" s="210"/>
      <c r="O158" s="210">
        <v>4372339</v>
      </c>
      <c r="P158" s="210"/>
      <c r="Q158" s="254" t="s">
        <v>678</v>
      </c>
      <c r="R158" s="210"/>
      <c r="S158" s="210">
        <v>22468390971</v>
      </c>
      <c r="T158" s="210"/>
      <c r="U158" s="6">
        <v>26469110624</v>
      </c>
      <c r="V158" s="25"/>
      <c r="W158" s="26">
        <f>U158/درآمدها!$J$5</f>
        <v>6.7618762135498974E-3</v>
      </c>
      <c r="X158" s="172"/>
      <c r="Y158" s="209"/>
      <c r="Z158" s="181"/>
    </row>
    <row r="159" spans="1:26">
      <c r="A159" s="117" t="s">
        <v>193</v>
      </c>
      <c r="C159" s="210">
        <v>247145</v>
      </c>
      <c r="D159" s="210"/>
      <c r="E159" s="210">
        <v>6681254337</v>
      </c>
      <c r="F159" s="210"/>
      <c r="G159" s="6">
        <v>7207925679</v>
      </c>
      <c r="H159" s="210"/>
      <c r="I159" s="210">
        <v>184333</v>
      </c>
      <c r="J159" s="210">
        <v>5888214155</v>
      </c>
      <c r="K159" s="25"/>
      <c r="L159" s="210">
        <v>4195</v>
      </c>
      <c r="M159" s="210">
        <v>90564958</v>
      </c>
      <c r="N159" s="210"/>
      <c r="O159" s="210">
        <v>489616</v>
      </c>
      <c r="P159" s="210"/>
      <c r="Q159" s="254" t="s">
        <v>679</v>
      </c>
      <c r="R159" s="210"/>
      <c r="S159" s="210">
        <v>12478903534</v>
      </c>
      <c r="T159" s="210"/>
      <c r="U159" s="6">
        <v>15233797168</v>
      </c>
      <c r="V159" s="25"/>
      <c r="W159" s="26">
        <f>U159/درآمدها!$J$5</f>
        <v>3.8916702633349119E-3</v>
      </c>
      <c r="X159" s="172"/>
      <c r="Y159" s="209"/>
      <c r="Z159" s="181"/>
    </row>
    <row r="160" spans="1:26">
      <c r="A160" s="117" t="s">
        <v>217</v>
      </c>
      <c r="C160" s="210">
        <v>3049898</v>
      </c>
      <c r="D160" s="210"/>
      <c r="E160" s="210">
        <v>11623072095</v>
      </c>
      <c r="F160" s="210"/>
      <c r="G160" s="6">
        <v>10741329075</v>
      </c>
      <c r="H160" s="210"/>
      <c r="I160" s="210">
        <v>1057084</v>
      </c>
      <c r="J160" s="210">
        <v>1980782322</v>
      </c>
      <c r="K160" s="25"/>
      <c r="L160" s="210">
        <v>7088</v>
      </c>
      <c r="M160" s="210">
        <v>13170512</v>
      </c>
      <c r="N160" s="210"/>
      <c r="O160" s="210">
        <v>7314125</v>
      </c>
      <c r="P160" s="210"/>
      <c r="Q160" s="254" t="s">
        <v>680</v>
      </c>
      <c r="R160" s="210"/>
      <c r="S160" s="210">
        <v>13590683905</v>
      </c>
      <c r="T160" s="210"/>
      <c r="U160" s="6">
        <v>17907502473</v>
      </c>
      <c r="V160" s="25"/>
      <c r="W160" s="26">
        <f>U160/درآمدها!$J$5</f>
        <v>4.5747028200664895E-3</v>
      </c>
      <c r="X160" s="172"/>
      <c r="Y160" s="209"/>
      <c r="Z160" s="181"/>
    </row>
    <row r="161" spans="1:26">
      <c r="A161" s="117" t="s">
        <v>142</v>
      </c>
      <c r="C161" s="210">
        <v>309478</v>
      </c>
      <c r="D161" s="210"/>
      <c r="E161" s="210">
        <v>7597912204</v>
      </c>
      <c r="F161" s="210"/>
      <c r="G161" s="6">
        <v>6059309632</v>
      </c>
      <c r="H161" s="210"/>
      <c r="I161" s="210">
        <v>823500</v>
      </c>
      <c r="J161" s="210">
        <v>9467516776</v>
      </c>
      <c r="K161" s="25"/>
      <c r="L161" s="210">
        <v>5782</v>
      </c>
      <c r="M161" s="210">
        <v>67457974</v>
      </c>
      <c r="N161" s="210"/>
      <c r="O161" s="210">
        <v>1468955</v>
      </c>
      <c r="P161" s="210"/>
      <c r="Q161" s="254" t="s">
        <v>681</v>
      </c>
      <c r="R161" s="210"/>
      <c r="S161" s="210">
        <v>16997971006</v>
      </c>
      <c r="T161" s="210"/>
      <c r="U161" s="6">
        <v>17566383059</v>
      </c>
      <c r="V161" s="25"/>
      <c r="W161" s="26">
        <f>U161/درآمدها!$J$5</f>
        <v>4.48755945948016E-3</v>
      </c>
      <c r="X161" s="172"/>
      <c r="Y161" s="209"/>
      <c r="Z161" s="181"/>
    </row>
    <row r="162" spans="1:26">
      <c r="A162" s="117" t="s">
        <v>89</v>
      </c>
      <c r="C162" s="210">
        <v>6264129</v>
      </c>
      <c r="D162" s="210"/>
      <c r="E162" s="210">
        <v>13679766881</v>
      </c>
      <c r="F162" s="210"/>
      <c r="G162" s="6">
        <v>16950477182</v>
      </c>
      <c r="H162" s="210"/>
      <c r="I162" s="210">
        <v>519864</v>
      </c>
      <c r="J162" s="210">
        <v>20018674030</v>
      </c>
      <c r="K162" s="25"/>
      <c r="L162" s="210">
        <v>5508</v>
      </c>
      <c r="M162" s="210">
        <v>166586682</v>
      </c>
      <c r="N162" s="210"/>
      <c r="O162" s="210">
        <v>966662</v>
      </c>
      <c r="P162" s="210"/>
      <c r="Q162" s="254" t="s">
        <v>682</v>
      </c>
      <c r="R162" s="210"/>
      <c r="S162" s="210">
        <v>33531854229</v>
      </c>
      <c r="T162" s="210"/>
      <c r="U162" s="6">
        <v>31911833094</v>
      </c>
      <c r="V162" s="25"/>
      <c r="W162" s="26">
        <f>U162/درآمدها!$J$5</f>
        <v>8.1522899728046806E-3</v>
      </c>
      <c r="X162" s="172"/>
      <c r="Y162" s="209"/>
      <c r="Z162" s="181"/>
    </row>
    <row r="163" spans="1:26">
      <c r="A163" s="117" t="s">
        <v>170</v>
      </c>
      <c r="C163" s="210">
        <v>651237</v>
      </c>
      <c r="D163" s="210"/>
      <c r="E163" s="210">
        <v>3907008572</v>
      </c>
      <c r="F163" s="210"/>
      <c r="G163" s="6">
        <v>2104788273</v>
      </c>
      <c r="H163" s="210"/>
      <c r="I163" s="210">
        <v>0</v>
      </c>
      <c r="J163" s="210">
        <v>0</v>
      </c>
      <c r="K163" s="25"/>
      <c r="L163" s="210">
        <v>4798</v>
      </c>
      <c r="M163" s="210">
        <v>66045503</v>
      </c>
      <c r="N163" s="210"/>
      <c r="O163" s="210">
        <v>279034</v>
      </c>
      <c r="P163" s="210"/>
      <c r="Q163" s="254" t="s">
        <v>683</v>
      </c>
      <c r="R163" s="210"/>
      <c r="S163" s="210">
        <v>3840963069</v>
      </c>
      <c r="T163" s="210"/>
      <c r="U163" s="6">
        <v>2540743532</v>
      </c>
      <c r="V163" s="25"/>
      <c r="W163" s="26">
        <f>U163/درآمدها!$J$5</f>
        <v>6.4906575433569633E-4</v>
      </c>
      <c r="X163" s="172"/>
      <c r="Y163" s="209"/>
      <c r="Z163" s="181"/>
    </row>
    <row r="164" spans="1:26">
      <c r="A164" s="117" t="s">
        <v>268</v>
      </c>
      <c r="C164" s="210">
        <v>452306</v>
      </c>
      <c r="D164" s="210"/>
      <c r="E164" s="210">
        <v>6711689975</v>
      </c>
      <c r="F164" s="210"/>
      <c r="G164" s="6">
        <v>8543238273</v>
      </c>
      <c r="H164" s="210"/>
      <c r="I164" s="210">
        <v>1147512</v>
      </c>
      <c r="J164" s="210">
        <v>6473745673</v>
      </c>
      <c r="K164" s="25"/>
      <c r="L164" s="210">
        <v>18806</v>
      </c>
      <c r="M164" s="210">
        <v>81509272</v>
      </c>
      <c r="N164" s="210"/>
      <c r="O164" s="210">
        <v>2677242</v>
      </c>
      <c r="P164" s="210"/>
      <c r="Q164" s="254" t="s">
        <v>684</v>
      </c>
      <c r="R164" s="210"/>
      <c r="S164" s="210">
        <v>13103926376</v>
      </c>
      <c r="T164" s="210"/>
      <c r="U164" s="6">
        <v>16766268188</v>
      </c>
      <c r="V164" s="25"/>
      <c r="W164" s="26">
        <f>U164/درآمدها!$J$5</f>
        <v>4.2831597805042879E-3</v>
      </c>
      <c r="X164" s="172"/>
      <c r="Y164" s="209"/>
      <c r="Z164" s="181"/>
    </row>
    <row r="165" spans="1:26">
      <c r="A165" s="117" t="s">
        <v>204</v>
      </c>
      <c r="C165" s="210">
        <v>283832</v>
      </c>
      <c r="D165" s="210"/>
      <c r="E165" s="210">
        <v>5303666981</v>
      </c>
      <c r="F165" s="210"/>
      <c r="G165" s="6">
        <v>5096651811</v>
      </c>
      <c r="H165" s="210"/>
      <c r="I165" s="210">
        <v>51621</v>
      </c>
      <c r="J165" s="210">
        <v>1994166629</v>
      </c>
      <c r="K165" s="25"/>
      <c r="L165" s="210">
        <v>2025</v>
      </c>
      <c r="M165" s="210">
        <v>70382359</v>
      </c>
      <c r="N165" s="210"/>
      <c r="O165" s="210">
        <v>202190</v>
      </c>
      <c r="P165" s="210"/>
      <c r="Q165" s="254" t="s">
        <v>685</v>
      </c>
      <c r="R165" s="210"/>
      <c r="S165" s="210">
        <v>7227451251</v>
      </c>
      <c r="T165" s="210"/>
      <c r="U165" s="6">
        <v>7818393116</v>
      </c>
      <c r="V165" s="25"/>
      <c r="W165" s="26">
        <f>U165/درآمدها!$J$5</f>
        <v>1.9973095125956834E-3</v>
      </c>
      <c r="X165" s="172"/>
      <c r="Y165" s="209"/>
      <c r="Z165" s="181"/>
    </row>
    <row r="166" spans="1:26">
      <c r="A166" s="117" t="s">
        <v>260</v>
      </c>
      <c r="C166" s="210">
        <v>1548536</v>
      </c>
      <c r="D166" s="210"/>
      <c r="E166" s="210">
        <v>3330603564</v>
      </c>
      <c r="F166" s="210"/>
      <c r="G166" s="6">
        <v>3245845981</v>
      </c>
      <c r="H166" s="210"/>
      <c r="I166" s="210">
        <v>214202</v>
      </c>
      <c r="J166" s="210">
        <v>1006858730</v>
      </c>
      <c r="K166" s="25"/>
      <c r="L166" s="210">
        <v>0</v>
      </c>
      <c r="M166" s="210">
        <v>0</v>
      </c>
      <c r="N166" s="210"/>
      <c r="O166" s="210">
        <v>258399</v>
      </c>
      <c r="P166" s="210"/>
      <c r="Q166" s="254" t="s">
        <v>686</v>
      </c>
      <c r="R166" s="210"/>
      <c r="S166" s="210">
        <v>4337462294</v>
      </c>
      <c r="T166" s="210"/>
      <c r="U166" s="6">
        <v>4292441502.0000005</v>
      </c>
      <c r="V166" s="25"/>
      <c r="W166" s="26">
        <f>U166/درآمدها!$J$5</f>
        <v>1.0965596276631513E-3</v>
      </c>
      <c r="X166" s="172"/>
      <c r="Y166" s="209"/>
      <c r="Z166" s="181"/>
    </row>
    <row r="167" spans="1:26">
      <c r="A167" s="117" t="s">
        <v>172</v>
      </c>
      <c r="C167" s="210">
        <v>152594</v>
      </c>
      <c r="D167" s="210"/>
      <c r="E167" s="210">
        <v>10187992533</v>
      </c>
      <c r="F167" s="210"/>
      <c r="G167" s="6">
        <v>17726830033</v>
      </c>
      <c r="H167" s="210"/>
      <c r="I167" s="210">
        <v>0</v>
      </c>
      <c r="J167" s="210">
        <v>0</v>
      </c>
      <c r="K167" s="25"/>
      <c r="L167" s="210">
        <v>12842</v>
      </c>
      <c r="M167" s="210">
        <v>129125228</v>
      </c>
      <c r="N167" s="210"/>
      <c r="O167" s="210">
        <v>1000393</v>
      </c>
      <c r="P167" s="210"/>
      <c r="Q167" s="254" t="s">
        <v>687</v>
      </c>
      <c r="R167" s="210"/>
      <c r="S167" s="210">
        <v>10058867305</v>
      </c>
      <c r="T167" s="210"/>
      <c r="U167" s="6">
        <v>26849897867</v>
      </c>
      <c r="V167" s="25"/>
      <c r="W167" s="26">
        <f>U167/درآمدها!$J$5</f>
        <v>6.8591532334483412E-3</v>
      </c>
      <c r="X167" s="172"/>
      <c r="Y167" s="209"/>
      <c r="Z167" s="181"/>
    </row>
    <row r="168" spans="1:26">
      <c r="A168" s="117" t="s">
        <v>203</v>
      </c>
      <c r="C168" s="210">
        <v>44197</v>
      </c>
      <c r="D168" s="210"/>
      <c r="E168" s="210">
        <v>4017817</v>
      </c>
      <c r="F168" s="210"/>
      <c r="G168" s="6">
        <v>4035847</v>
      </c>
      <c r="H168" s="210"/>
      <c r="I168" s="210">
        <v>0</v>
      </c>
      <c r="J168" s="210">
        <v>0</v>
      </c>
      <c r="K168" s="25"/>
      <c r="L168" s="210">
        <v>700</v>
      </c>
      <c r="M168" s="210">
        <v>4017817</v>
      </c>
      <c r="N168" s="210"/>
      <c r="O168" s="210">
        <v>0</v>
      </c>
      <c r="P168" s="210"/>
      <c r="Q168" s="254"/>
      <c r="R168" s="210"/>
      <c r="S168" s="210">
        <v>0</v>
      </c>
      <c r="T168" s="210"/>
      <c r="U168" s="6">
        <v>0</v>
      </c>
      <c r="V168" s="25"/>
      <c r="W168" s="26">
        <f>U168/درآمدها!$J$5</f>
        <v>0</v>
      </c>
      <c r="X168" s="172"/>
      <c r="Y168" s="209"/>
      <c r="Z168" s="181"/>
    </row>
    <row r="169" spans="1:26">
      <c r="A169" s="117" t="s">
        <v>115</v>
      </c>
      <c r="C169" s="210">
        <v>1013235</v>
      </c>
      <c r="D169" s="210"/>
      <c r="E169" s="210">
        <v>2037770297</v>
      </c>
      <c r="F169" s="210"/>
      <c r="G169" s="6">
        <v>2285523331</v>
      </c>
      <c r="H169" s="210"/>
      <c r="I169" s="210">
        <v>0</v>
      </c>
      <c r="J169" s="210">
        <v>0</v>
      </c>
      <c r="K169" s="25"/>
      <c r="L169" s="210">
        <v>9188</v>
      </c>
      <c r="M169" s="210">
        <v>30871133</v>
      </c>
      <c r="N169" s="210"/>
      <c r="O169" s="210">
        <v>597302</v>
      </c>
      <c r="P169" s="210"/>
      <c r="Q169" s="254" t="s">
        <v>688</v>
      </c>
      <c r="R169" s="210"/>
      <c r="S169" s="210">
        <v>2006899164</v>
      </c>
      <c r="T169" s="210"/>
      <c r="U169" s="6">
        <v>2674241235</v>
      </c>
      <c r="V169" s="25"/>
      <c r="W169" s="26">
        <f>U169/درآمدها!$J$5</f>
        <v>6.8316946697274884E-4</v>
      </c>
      <c r="X169" s="172"/>
      <c r="Y169" s="209"/>
      <c r="Z169" s="181"/>
    </row>
    <row r="170" spans="1:26">
      <c r="A170" s="117" t="s">
        <v>174</v>
      </c>
      <c r="C170" s="210">
        <v>700</v>
      </c>
      <c r="D170" s="210"/>
      <c r="E170" s="210">
        <v>13003235084</v>
      </c>
      <c r="F170" s="210"/>
      <c r="G170" s="6">
        <v>13219005621</v>
      </c>
      <c r="H170" s="210"/>
      <c r="I170" s="210">
        <v>4666635</v>
      </c>
      <c r="J170" s="210">
        <v>7483745889</v>
      </c>
      <c r="K170" s="25"/>
      <c r="L170" s="210">
        <v>124099</v>
      </c>
      <c r="M170" s="210">
        <v>162969057</v>
      </c>
      <c r="N170" s="210"/>
      <c r="O170" s="210">
        <v>14444345</v>
      </c>
      <c r="P170" s="210"/>
      <c r="Q170" s="254" t="s">
        <v>689</v>
      </c>
      <c r="R170" s="210"/>
      <c r="S170" s="210">
        <v>20324011916</v>
      </c>
      <c r="T170" s="210"/>
      <c r="U170" s="6">
        <v>24825675586</v>
      </c>
      <c r="V170" s="25"/>
      <c r="W170" s="26">
        <f>U170/درآمدها!$J$5</f>
        <v>6.342039504647008E-3</v>
      </c>
      <c r="X170" s="172"/>
      <c r="Y170" s="209"/>
      <c r="Z170" s="181"/>
    </row>
    <row r="171" spans="1:26">
      <c r="A171" s="117" t="s">
        <v>97</v>
      </c>
      <c r="C171" s="210">
        <v>606490</v>
      </c>
      <c r="D171" s="210"/>
      <c r="E171" s="210">
        <v>9476913574</v>
      </c>
      <c r="F171" s="210"/>
      <c r="G171" s="6">
        <v>11106445702</v>
      </c>
      <c r="H171" s="210"/>
      <c r="I171" s="210">
        <v>1070835</v>
      </c>
      <c r="J171" s="210">
        <v>4944004506</v>
      </c>
      <c r="K171" s="25"/>
      <c r="L171" s="210">
        <v>40001</v>
      </c>
      <c r="M171" s="210">
        <v>119599681</v>
      </c>
      <c r="N171" s="210"/>
      <c r="O171" s="210">
        <v>4200458</v>
      </c>
      <c r="P171" s="210"/>
      <c r="Q171" s="254" t="s">
        <v>690</v>
      </c>
      <c r="R171" s="210"/>
      <c r="S171" s="210">
        <v>14301318399</v>
      </c>
      <c r="T171" s="210"/>
      <c r="U171" s="6">
        <v>19875214712</v>
      </c>
      <c r="V171" s="25"/>
      <c r="W171" s="26">
        <f>U171/درآمدها!$J$5</f>
        <v>5.0773803286919906E-3</v>
      </c>
      <c r="X171" s="172"/>
      <c r="Y171" s="209"/>
      <c r="Z171" s="232"/>
    </row>
    <row r="172" spans="1:26">
      <c r="A172" s="117" t="s">
        <v>154</v>
      </c>
      <c r="C172" s="210">
        <v>0</v>
      </c>
      <c r="D172" s="210"/>
      <c r="E172" s="210">
        <v>1755657299</v>
      </c>
      <c r="F172" s="210"/>
      <c r="G172" s="6">
        <v>1901880075</v>
      </c>
      <c r="H172" s="210"/>
      <c r="I172" s="210">
        <v>0</v>
      </c>
      <c r="J172" s="210">
        <v>0</v>
      </c>
      <c r="K172" s="25"/>
      <c r="L172" s="210">
        <v>4014</v>
      </c>
      <c r="M172" s="210">
        <v>30903252</v>
      </c>
      <c r="N172" s="210"/>
      <c r="O172" s="210">
        <v>224027</v>
      </c>
      <c r="P172" s="210"/>
      <c r="Q172" s="254" t="s">
        <v>691</v>
      </c>
      <c r="R172" s="210"/>
      <c r="S172" s="210">
        <v>1724754047</v>
      </c>
      <c r="T172" s="210"/>
      <c r="U172" s="6">
        <v>1937438144</v>
      </c>
      <c r="V172" s="25"/>
      <c r="W172" s="26">
        <f>U172/درآمدها!$J$5</f>
        <v>4.9494360000366673E-4</v>
      </c>
      <c r="X172" s="172"/>
      <c r="Y172" s="209"/>
      <c r="Z172" s="181"/>
    </row>
    <row r="173" spans="1:26">
      <c r="A173" s="117" t="s">
        <v>136</v>
      </c>
      <c r="C173" s="210">
        <v>9901809</v>
      </c>
      <c r="D173" s="210"/>
      <c r="E173" s="210">
        <v>5517085567</v>
      </c>
      <c r="F173" s="210"/>
      <c r="G173" s="6">
        <v>3999946288</v>
      </c>
      <c r="H173" s="210"/>
      <c r="I173" s="210">
        <v>0</v>
      </c>
      <c r="J173" s="210">
        <v>0</v>
      </c>
      <c r="K173" s="25"/>
      <c r="L173" s="210">
        <v>0</v>
      </c>
      <c r="M173" s="210">
        <v>0</v>
      </c>
      <c r="N173" s="210"/>
      <c r="O173" s="210">
        <v>2075239</v>
      </c>
      <c r="P173" s="210"/>
      <c r="Q173" s="254" t="s">
        <v>457</v>
      </c>
      <c r="R173" s="210"/>
      <c r="S173" s="210">
        <v>5517085567</v>
      </c>
      <c r="T173" s="210"/>
      <c r="U173" s="6">
        <v>3999946288</v>
      </c>
      <c r="V173" s="25"/>
      <c r="W173" s="26">
        <f>U173/درآمدها!$J$5</f>
        <v>1.0218379470513942E-3</v>
      </c>
      <c r="X173" s="172"/>
      <c r="Y173" s="209"/>
      <c r="Z173" s="181"/>
    </row>
    <row r="174" spans="1:26">
      <c r="A174" s="117" t="s">
        <v>131</v>
      </c>
      <c r="C174" s="210">
        <v>3169624</v>
      </c>
      <c r="D174" s="210"/>
      <c r="E174" s="210">
        <v>5100878661</v>
      </c>
      <c r="F174" s="210"/>
      <c r="G174" s="6">
        <v>5301837965</v>
      </c>
      <c r="H174" s="210"/>
      <c r="I174" s="210">
        <v>3112681</v>
      </c>
      <c r="J174" s="210">
        <v>5026712552</v>
      </c>
      <c r="K174" s="25"/>
      <c r="L174" s="210">
        <v>55972</v>
      </c>
      <c r="M174" s="210">
        <v>79273061</v>
      </c>
      <c r="N174" s="210"/>
      <c r="O174" s="210">
        <v>6709841</v>
      </c>
      <c r="P174" s="210"/>
      <c r="Q174" s="254" t="s">
        <v>692</v>
      </c>
      <c r="R174" s="210"/>
      <c r="S174" s="210">
        <v>10048318152</v>
      </c>
      <c r="T174" s="210"/>
      <c r="U174" s="6">
        <v>10811936184</v>
      </c>
      <c r="V174" s="25"/>
      <c r="W174" s="26">
        <f>U174/درآمدها!$J$5</f>
        <v>2.7620487572680239E-3</v>
      </c>
      <c r="X174" s="172"/>
      <c r="Y174" s="209"/>
      <c r="Z174" s="181"/>
    </row>
    <row r="175" spans="1:26">
      <c r="A175" s="117" t="s">
        <v>190</v>
      </c>
      <c r="C175" s="210">
        <v>228041</v>
      </c>
      <c r="D175" s="210"/>
      <c r="E175" s="210">
        <v>36131120925</v>
      </c>
      <c r="F175" s="210"/>
      <c r="G175" s="6">
        <v>37132771719</v>
      </c>
      <c r="H175" s="210"/>
      <c r="I175" s="210">
        <v>517942</v>
      </c>
      <c r="J175" s="210">
        <v>16830400653</v>
      </c>
      <c r="K175" s="25"/>
      <c r="L175" s="210">
        <v>18104</v>
      </c>
      <c r="M175" s="210">
        <v>532823820</v>
      </c>
      <c r="N175" s="210"/>
      <c r="O175" s="210">
        <v>1745421</v>
      </c>
      <c r="P175" s="210"/>
      <c r="Q175" s="254" t="s">
        <v>693</v>
      </c>
      <c r="R175" s="210"/>
      <c r="S175" s="210">
        <v>52428697758</v>
      </c>
      <c r="T175" s="210"/>
      <c r="U175" s="6">
        <v>57065325659</v>
      </c>
      <c r="V175" s="25"/>
      <c r="W175" s="26">
        <f>U175/درآمدها!$J$5</f>
        <v>1.4578074559188133E-2</v>
      </c>
      <c r="X175" s="172"/>
      <c r="Y175" s="209"/>
      <c r="Z175" s="181"/>
    </row>
    <row r="176" spans="1:26">
      <c r="A176" s="117" t="s">
        <v>96</v>
      </c>
      <c r="C176" s="210">
        <v>2075239</v>
      </c>
      <c r="D176" s="210"/>
      <c r="E176" s="210">
        <v>6008607418</v>
      </c>
      <c r="F176" s="210"/>
      <c r="G176" s="6">
        <v>5103559435</v>
      </c>
      <c r="H176" s="210"/>
      <c r="I176" s="210">
        <v>782111</v>
      </c>
      <c r="J176" s="210">
        <v>14476681015</v>
      </c>
      <c r="K176" s="25"/>
      <c r="L176" s="210">
        <v>5853</v>
      </c>
      <c r="M176" s="210">
        <v>97268105</v>
      </c>
      <c r="N176" s="210"/>
      <c r="O176" s="210">
        <v>1133041</v>
      </c>
      <c r="P176" s="210"/>
      <c r="Q176" s="254" t="s">
        <v>694</v>
      </c>
      <c r="R176" s="210"/>
      <c r="S176" s="210">
        <v>20388020328</v>
      </c>
      <c r="T176" s="210"/>
      <c r="U176" s="6">
        <v>21917786445</v>
      </c>
      <c r="V176" s="25"/>
      <c r="W176" s="26">
        <f>U176/درآمدها!$J$5</f>
        <v>5.5991816620287772E-3</v>
      </c>
      <c r="X176" s="172"/>
      <c r="Y176" s="209"/>
      <c r="Z176" s="181"/>
    </row>
    <row r="177" spans="1:26">
      <c r="A177" s="117" t="s">
        <v>194</v>
      </c>
      <c r="C177" s="210">
        <v>3653132</v>
      </c>
      <c r="D177" s="210"/>
      <c r="E177" s="210">
        <v>7421909862</v>
      </c>
      <c r="F177" s="210"/>
      <c r="G177" s="6">
        <v>8246201104</v>
      </c>
      <c r="H177" s="210"/>
      <c r="I177" s="210">
        <v>91329</v>
      </c>
      <c r="J177" s="210">
        <v>2957245952</v>
      </c>
      <c r="K177" s="25"/>
      <c r="L177" s="210">
        <v>3557</v>
      </c>
      <c r="M177" s="210">
        <v>100309036</v>
      </c>
      <c r="N177" s="210"/>
      <c r="O177" s="210">
        <v>350956</v>
      </c>
      <c r="P177" s="210"/>
      <c r="Q177" s="254" t="s">
        <v>695</v>
      </c>
      <c r="R177" s="210"/>
      <c r="S177" s="210">
        <v>10278846778</v>
      </c>
      <c r="T177" s="210"/>
      <c r="U177" s="6">
        <v>11460307620</v>
      </c>
      <c r="V177" s="25"/>
      <c r="W177" s="26">
        <f>U177/درآمدها!$J$5</f>
        <v>2.9276836156851538E-3</v>
      </c>
      <c r="X177" s="172"/>
      <c r="Y177" s="209"/>
      <c r="Z177" s="181"/>
    </row>
    <row r="178" spans="1:26" ht="42" customHeight="1">
      <c r="A178" s="117" t="s">
        <v>95</v>
      </c>
      <c r="C178" s="210">
        <v>1245583</v>
      </c>
      <c r="D178" s="210"/>
      <c r="E178" s="210">
        <v>14197444163</v>
      </c>
      <c r="F178" s="210"/>
      <c r="G178" s="6">
        <v>12196954637</v>
      </c>
      <c r="H178" s="210"/>
      <c r="I178" s="210">
        <v>0</v>
      </c>
      <c r="J178" s="210">
        <v>0</v>
      </c>
      <c r="K178" s="25"/>
      <c r="L178" s="210">
        <v>15913</v>
      </c>
      <c r="M178" s="210">
        <v>183759413</v>
      </c>
      <c r="N178" s="210"/>
      <c r="O178" s="210">
        <v>1213542</v>
      </c>
      <c r="P178" s="210"/>
      <c r="Q178" s="254" t="s">
        <v>696</v>
      </c>
      <c r="R178" s="210"/>
      <c r="S178" s="210">
        <v>14013684750</v>
      </c>
      <c r="T178" s="210"/>
      <c r="U178" s="6">
        <v>14849816745</v>
      </c>
      <c r="V178" s="25"/>
      <c r="W178" s="26">
        <f>U178/درآمدها!$J$5</f>
        <v>3.7935775043587828E-3</v>
      </c>
      <c r="X178" s="172"/>
      <c r="Y178" s="209"/>
      <c r="Z178" s="181"/>
    </row>
    <row r="179" spans="1:26">
      <c r="A179" s="117" t="s">
        <v>206</v>
      </c>
      <c r="C179" s="210">
        <v>356783</v>
      </c>
      <c r="D179" s="210"/>
      <c r="E179" s="210">
        <v>10810357427</v>
      </c>
      <c r="F179" s="210"/>
      <c r="G179" s="6">
        <v>10725963086</v>
      </c>
      <c r="H179" s="210"/>
      <c r="I179" s="210">
        <v>1011326</v>
      </c>
      <c r="J179" s="210">
        <v>7979195578</v>
      </c>
      <c r="K179" s="25"/>
      <c r="L179" s="210">
        <v>19614</v>
      </c>
      <c r="M179" s="210">
        <v>136768913</v>
      </c>
      <c r="N179" s="210"/>
      <c r="O179" s="210">
        <v>2542023</v>
      </c>
      <c r="P179" s="210"/>
      <c r="Q179" s="254" t="s">
        <v>697</v>
      </c>
      <c r="R179" s="210"/>
      <c r="S179" s="210">
        <v>18652784092</v>
      </c>
      <c r="T179" s="210"/>
      <c r="U179" s="6">
        <v>19962493913</v>
      </c>
      <c r="V179" s="25"/>
      <c r="W179" s="26">
        <f>U179/درآمدها!$J$5</f>
        <v>5.0996769279832571E-3</v>
      </c>
      <c r="X179" s="172"/>
      <c r="Y179" s="209"/>
      <c r="Z179" s="181"/>
    </row>
    <row r="180" spans="1:26">
      <c r="A180" s="117" t="s">
        <v>177</v>
      </c>
      <c r="C180" s="210">
        <v>263184</v>
      </c>
      <c r="D180" s="210"/>
      <c r="E180" s="210">
        <v>11368698657</v>
      </c>
      <c r="F180" s="210"/>
      <c r="G180" s="6">
        <v>11280830362</v>
      </c>
      <c r="H180" s="210"/>
      <c r="I180" s="210">
        <v>254823</v>
      </c>
      <c r="J180" s="210">
        <v>1986605206</v>
      </c>
      <c r="K180" s="25"/>
      <c r="L180" s="210">
        <v>11951</v>
      </c>
      <c r="M180" s="210">
        <v>77341872</v>
      </c>
      <c r="N180" s="210"/>
      <c r="O180" s="210">
        <v>1999583</v>
      </c>
      <c r="P180" s="210"/>
      <c r="Q180" s="254" t="s">
        <v>698</v>
      </c>
      <c r="R180" s="210"/>
      <c r="S180" s="210">
        <v>13277961991</v>
      </c>
      <c r="T180" s="210"/>
      <c r="U180" s="6">
        <v>15603331031</v>
      </c>
      <c r="V180" s="25"/>
      <c r="W180" s="26">
        <f>U180/درآمدها!$J$5</f>
        <v>3.9860724619511078E-3</v>
      </c>
      <c r="X180" s="172"/>
      <c r="Y180" s="209"/>
      <c r="Z180" s="181"/>
    </row>
    <row r="181" spans="1:26">
      <c r="A181" s="117" t="s">
        <v>175</v>
      </c>
      <c r="C181" s="210">
        <v>1229455</v>
      </c>
      <c r="D181" s="210"/>
      <c r="E181" s="210">
        <v>3566111861</v>
      </c>
      <c r="F181" s="210"/>
      <c r="G181" s="6">
        <v>3484504802</v>
      </c>
      <c r="H181" s="210"/>
      <c r="I181" s="210">
        <v>0</v>
      </c>
      <c r="J181" s="210">
        <v>0</v>
      </c>
      <c r="K181" s="25"/>
      <c r="L181" s="210">
        <v>1578</v>
      </c>
      <c r="M181" s="210">
        <v>54421289</v>
      </c>
      <c r="N181" s="210"/>
      <c r="O181" s="210">
        <v>101825</v>
      </c>
      <c r="P181" s="210"/>
      <c r="Q181" s="254" t="s">
        <v>699</v>
      </c>
      <c r="R181" s="210"/>
      <c r="S181" s="210">
        <v>3511690572</v>
      </c>
      <c r="T181" s="210"/>
      <c r="U181" s="6">
        <v>4064960717</v>
      </c>
      <c r="V181" s="25"/>
      <c r="W181" s="26">
        <f>U181/درآمدها!$J$5</f>
        <v>1.0384467227385538E-3</v>
      </c>
      <c r="X181" s="172"/>
      <c r="Y181" s="209"/>
      <c r="Z181" s="181"/>
    </row>
    <row r="182" spans="1:26">
      <c r="A182" s="117" t="s">
        <v>120</v>
      </c>
      <c r="C182" s="210">
        <v>1550311</v>
      </c>
      <c r="D182" s="210"/>
      <c r="E182" s="210">
        <v>14024998835</v>
      </c>
      <c r="F182" s="210"/>
      <c r="G182" s="6">
        <v>13469959381</v>
      </c>
      <c r="H182" s="210"/>
      <c r="I182" s="210">
        <v>229384</v>
      </c>
      <c r="J182" s="210">
        <v>8822854058</v>
      </c>
      <c r="K182" s="25"/>
      <c r="L182" s="210">
        <v>5141</v>
      </c>
      <c r="M182" s="210">
        <v>187537675</v>
      </c>
      <c r="N182" s="210"/>
      <c r="O182" s="210">
        <v>608875</v>
      </c>
      <c r="P182" s="210"/>
      <c r="Q182" s="254" t="s">
        <v>700</v>
      </c>
      <c r="R182" s="210"/>
      <c r="S182" s="210">
        <v>22660315218</v>
      </c>
      <c r="T182" s="210"/>
      <c r="U182" s="6">
        <v>23871146526</v>
      </c>
      <c r="V182" s="25"/>
      <c r="W182" s="26">
        <f>U182/درآمدها!$J$5</f>
        <v>6.0981927265046469E-3</v>
      </c>
      <c r="X182" s="172"/>
      <c r="Y182" s="209"/>
      <c r="Z182" s="181"/>
    </row>
    <row r="183" spans="1:26">
      <c r="A183" s="117" t="s">
        <v>171</v>
      </c>
      <c r="C183" s="210">
        <v>1756711</v>
      </c>
      <c r="D183" s="210"/>
      <c r="E183" s="210">
        <v>16655495899</v>
      </c>
      <c r="F183" s="210"/>
      <c r="G183" s="6">
        <v>20611632806</v>
      </c>
      <c r="H183" s="210"/>
      <c r="I183" s="210">
        <v>278296</v>
      </c>
      <c r="J183" s="210">
        <v>1994448447</v>
      </c>
      <c r="K183" s="25"/>
      <c r="L183" s="210">
        <v>48201</v>
      </c>
      <c r="M183" s="210">
        <v>207255800</v>
      </c>
      <c r="N183" s="210"/>
      <c r="O183" s="210">
        <v>4103625</v>
      </c>
      <c r="P183" s="210"/>
      <c r="Q183" s="254" t="s">
        <v>527</v>
      </c>
      <c r="R183" s="210"/>
      <c r="S183" s="210">
        <v>18442688546</v>
      </c>
      <c r="T183" s="210"/>
      <c r="U183" s="6">
        <v>28350498601</v>
      </c>
      <c r="V183" s="25"/>
      <c r="W183" s="26">
        <f>U183/درآمدها!$J$5</f>
        <v>7.2425010743867434E-3</v>
      </c>
      <c r="X183" s="172"/>
      <c r="Y183" s="209"/>
      <c r="Z183" s="181"/>
    </row>
    <row r="184" spans="1:26">
      <c r="A184" s="117" t="s">
        <v>270</v>
      </c>
      <c r="C184" s="210">
        <v>103403</v>
      </c>
      <c r="D184" s="210"/>
      <c r="E184" s="210">
        <v>5054431772</v>
      </c>
      <c r="F184" s="210"/>
      <c r="G184" s="6">
        <v>4611134564</v>
      </c>
      <c r="H184" s="210"/>
      <c r="I184" s="210">
        <v>4278234</v>
      </c>
      <c r="J184" s="210">
        <v>13023898637</v>
      </c>
      <c r="K184" s="25"/>
      <c r="L184" s="210">
        <v>24861</v>
      </c>
      <c r="M184" s="210">
        <v>72896229</v>
      </c>
      <c r="N184" s="210"/>
      <c r="O184" s="210">
        <v>5977169</v>
      </c>
      <c r="P184" s="210"/>
      <c r="Q184" s="254" t="s">
        <v>701</v>
      </c>
      <c r="R184" s="210"/>
      <c r="S184" s="210">
        <v>18005434180</v>
      </c>
      <c r="T184" s="210"/>
      <c r="U184" s="6">
        <v>18365500579</v>
      </c>
      <c r="V184" s="25"/>
      <c r="W184" s="26">
        <f>U184/درآمدها!$J$5</f>
        <v>4.6917043522601799E-3</v>
      </c>
      <c r="X184" s="172"/>
      <c r="Y184" s="209"/>
      <c r="Z184" s="181"/>
    </row>
    <row r="185" spans="1:26">
      <c r="A185" s="117" t="s">
        <v>493</v>
      </c>
      <c r="C185" s="210">
        <v>384632</v>
      </c>
      <c r="D185" s="210"/>
      <c r="E185" s="210">
        <v>4266722527</v>
      </c>
      <c r="F185" s="210"/>
      <c r="G185" s="6">
        <v>4755058665</v>
      </c>
      <c r="H185" s="210"/>
      <c r="I185" s="210">
        <v>0</v>
      </c>
      <c r="J185" s="210">
        <v>0</v>
      </c>
      <c r="K185" s="25"/>
      <c r="L185" s="210">
        <v>3768</v>
      </c>
      <c r="M185" s="210">
        <v>60798969</v>
      </c>
      <c r="N185" s="210"/>
      <c r="O185" s="210">
        <v>260661</v>
      </c>
      <c r="P185" s="210"/>
      <c r="Q185" s="254" t="s">
        <v>702</v>
      </c>
      <c r="R185" s="210"/>
      <c r="S185" s="210">
        <v>4205923558</v>
      </c>
      <c r="T185" s="210"/>
      <c r="U185" s="6">
        <v>5249569963</v>
      </c>
      <c r="V185" s="25"/>
      <c r="W185" s="26">
        <f>U185/درآمدها!$J$5</f>
        <v>1.3410704563677339E-3</v>
      </c>
      <c r="X185" s="172"/>
      <c r="Y185" s="209"/>
      <c r="Z185" s="181"/>
    </row>
    <row r="186" spans="1:26">
      <c r="A186" s="117" t="s">
        <v>148</v>
      </c>
      <c r="C186" s="210">
        <v>3873530</v>
      </c>
      <c r="D186" s="210"/>
      <c r="E186" s="210">
        <v>13160413288</v>
      </c>
      <c r="F186" s="210"/>
      <c r="G186" s="6">
        <v>14921984674</v>
      </c>
      <c r="H186" s="210"/>
      <c r="I186" s="210">
        <v>2114955</v>
      </c>
      <c r="J186" s="210">
        <v>8966403192</v>
      </c>
      <c r="K186" s="25"/>
      <c r="L186" s="210">
        <v>48182</v>
      </c>
      <c r="M186" s="210">
        <v>163980242</v>
      </c>
      <c r="N186" s="210"/>
      <c r="O186" s="210">
        <v>5933672</v>
      </c>
      <c r="P186" s="210"/>
      <c r="Q186" s="254" t="s">
        <v>644</v>
      </c>
      <c r="R186" s="210"/>
      <c r="S186" s="210">
        <v>21962836238</v>
      </c>
      <c r="T186" s="210"/>
      <c r="U186" s="6">
        <v>25020871339</v>
      </c>
      <c r="V186" s="25"/>
      <c r="W186" s="26">
        <f>U186/درآمدها!$J$5</f>
        <v>6.3919047811176084E-3</v>
      </c>
      <c r="X186" s="172"/>
      <c r="Y186" s="209"/>
      <c r="Z186" s="181"/>
    </row>
    <row r="187" spans="1:26">
      <c r="A187" s="117" t="s">
        <v>112</v>
      </c>
      <c r="C187" s="210">
        <v>1723796</v>
      </c>
      <c r="D187" s="210"/>
      <c r="E187" s="210">
        <v>18081927733</v>
      </c>
      <c r="F187" s="210"/>
      <c r="G187" s="6">
        <v>12179260368</v>
      </c>
      <c r="H187" s="210"/>
      <c r="I187" s="210">
        <v>364288</v>
      </c>
      <c r="J187" s="210">
        <v>5931197832</v>
      </c>
      <c r="K187" s="25"/>
      <c r="L187" s="210">
        <v>12248</v>
      </c>
      <c r="M187" s="210">
        <v>239878200</v>
      </c>
      <c r="N187" s="210"/>
      <c r="O187" s="210">
        <v>1260954</v>
      </c>
      <c r="P187" s="210"/>
      <c r="Q187" s="254" t="s">
        <v>703</v>
      </c>
      <c r="R187" s="210"/>
      <c r="S187" s="210">
        <v>23773247365</v>
      </c>
      <c r="T187" s="210"/>
      <c r="U187" s="6">
        <v>20581670739</v>
      </c>
      <c r="V187" s="25"/>
      <c r="W187" s="26">
        <f>U187/درآمدها!$J$5</f>
        <v>5.2578536461656391E-3</v>
      </c>
      <c r="X187" s="172"/>
      <c r="Y187" s="209"/>
      <c r="Z187" s="181"/>
    </row>
    <row r="188" spans="1:26">
      <c r="A188" s="117" t="s">
        <v>167</v>
      </c>
      <c r="C188" s="210">
        <v>264429</v>
      </c>
      <c r="D188" s="210"/>
      <c r="E188" s="210">
        <v>6536523470</v>
      </c>
      <c r="F188" s="210"/>
      <c r="G188" s="6">
        <v>6451490966</v>
      </c>
      <c r="H188" s="210"/>
      <c r="I188" s="210">
        <v>1105947</v>
      </c>
      <c r="J188" s="210">
        <v>4514897498</v>
      </c>
      <c r="K188" s="25"/>
      <c r="L188" s="210">
        <v>24790</v>
      </c>
      <c r="M188" s="210">
        <v>92443819</v>
      </c>
      <c r="N188" s="210"/>
      <c r="O188" s="210">
        <v>2835240</v>
      </c>
      <c r="P188" s="210"/>
      <c r="Q188" s="254" t="s">
        <v>704</v>
      </c>
      <c r="R188" s="210"/>
      <c r="S188" s="210">
        <v>10958977149</v>
      </c>
      <c r="T188" s="210"/>
      <c r="U188" s="6">
        <v>13511267328</v>
      </c>
      <c r="V188" s="25"/>
      <c r="W188" s="26">
        <f>U188/درآمدها!$J$5</f>
        <v>3.4516277655841604E-3</v>
      </c>
      <c r="X188" s="172"/>
      <c r="Y188" s="209"/>
      <c r="Z188" s="181"/>
    </row>
    <row r="189" spans="1:26">
      <c r="A189" s="117" t="s">
        <v>151</v>
      </c>
      <c r="C189" s="210">
        <v>3866899</v>
      </c>
      <c r="D189" s="210"/>
      <c r="E189" s="210">
        <v>9975831552</v>
      </c>
      <c r="F189" s="210"/>
      <c r="G189" s="6">
        <v>7986538832</v>
      </c>
      <c r="H189" s="210"/>
      <c r="I189" s="210">
        <v>0</v>
      </c>
      <c r="J189" s="210">
        <v>0</v>
      </c>
      <c r="K189" s="25"/>
      <c r="L189" s="210">
        <v>12023</v>
      </c>
      <c r="M189" s="210">
        <v>134802928</v>
      </c>
      <c r="N189" s="210"/>
      <c r="O189" s="210">
        <v>877716</v>
      </c>
      <c r="P189" s="210"/>
      <c r="Q189" s="254" t="s">
        <v>705</v>
      </c>
      <c r="R189" s="210"/>
      <c r="S189" s="210">
        <v>9841028624</v>
      </c>
      <c r="T189" s="210"/>
      <c r="U189" s="6">
        <v>8655136414</v>
      </c>
      <c r="V189" s="25"/>
      <c r="W189" s="26">
        <f>U189/درآمدها!$J$5</f>
        <v>2.2110663963824523E-3</v>
      </c>
      <c r="X189" s="172"/>
      <c r="Y189" s="209"/>
      <c r="Z189" s="181"/>
    </row>
    <row r="190" spans="1:26">
      <c r="A190" s="117" t="s">
        <v>494</v>
      </c>
      <c r="C190" s="210">
        <v>908914</v>
      </c>
      <c r="D190" s="210"/>
      <c r="E190" s="210">
        <v>10601980046</v>
      </c>
      <c r="F190" s="210"/>
      <c r="G190" s="6">
        <v>12123707166</v>
      </c>
      <c r="H190" s="210"/>
      <c r="I190" s="210">
        <v>571236</v>
      </c>
      <c r="J190" s="210">
        <v>16193155046</v>
      </c>
      <c r="K190" s="25"/>
      <c r="L190" s="210">
        <v>7268</v>
      </c>
      <c r="M190" s="210">
        <v>162945589</v>
      </c>
      <c r="N190" s="210"/>
      <c r="O190" s="210">
        <v>1051819</v>
      </c>
      <c r="P190" s="210"/>
      <c r="Q190" s="254" t="s">
        <v>706</v>
      </c>
      <c r="R190" s="210"/>
      <c r="S190" s="210">
        <v>26632189503</v>
      </c>
      <c r="T190" s="210"/>
      <c r="U190" s="6">
        <v>30216703566</v>
      </c>
      <c r="V190" s="25"/>
      <c r="W190" s="26">
        <f>U190/درآمدها!$J$5</f>
        <v>7.7192472386874173E-3</v>
      </c>
      <c r="X190" s="172"/>
      <c r="Y190" s="209"/>
      <c r="Z190" s="181"/>
    </row>
    <row r="191" spans="1:26">
      <c r="A191" s="117" t="s">
        <v>139</v>
      </c>
      <c r="C191" s="210">
        <v>1754083</v>
      </c>
      <c r="D191" s="210"/>
      <c r="E191" s="210">
        <v>7483135127</v>
      </c>
      <c r="F191" s="210"/>
      <c r="G191" s="6">
        <v>8458572857</v>
      </c>
      <c r="H191" s="210"/>
      <c r="I191" s="210">
        <v>2383162</v>
      </c>
      <c r="J191" s="210">
        <v>18083959187</v>
      </c>
      <c r="K191" s="25"/>
      <c r="L191" s="210">
        <v>16503</v>
      </c>
      <c r="M191" s="210">
        <v>99704408</v>
      </c>
      <c r="N191" s="210"/>
      <c r="O191" s="210">
        <v>3605262</v>
      </c>
      <c r="P191" s="210"/>
      <c r="Q191" s="254" t="s">
        <v>707</v>
      </c>
      <c r="R191" s="210"/>
      <c r="S191" s="210">
        <v>25467389906</v>
      </c>
      <c r="T191" s="210"/>
      <c r="U191" s="6">
        <v>28097075821</v>
      </c>
      <c r="V191" s="25"/>
      <c r="W191" s="26">
        <f>U191/درآمدها!$J$5</f>
        <v>7.1777609517435616E-3</v>
      </c>
      <c r="X191" s="172"/>
      <c r="Y191" s="209"/>
      <c r="Z191" s="181"/>
    </row>
    <row r="192" spans="1:26" ht="30" thickBot="1">
      <c r="A192" s="117" t="s">
        <v>133</v>
      </c>
      <c r="C192" s="210">
        <v>1228658</v>
      </c>
      <c r="D192" s="210"/>
      <c r="E192" s="210">
        <v>5008953318</v>
      </c>
      <c r="F192" s="210"/>
      <c r="G192" s="6">
        <v>4721729381</v>
      </c>
      <c r="H192" s="210"/>
      <c r="I192" s="210">
        <v>1428661</v>
      </c>
      <c r="J192" s="210">
        <v>6945451865</v>
      </c>
      <c r="K192" s="25"/>
      <c r="L192" s="210">
        <v>17364</v>
      </c>
      <c r="M192" s="210">
        <v>70788995</v>
      </c>
      <c r="N192" s="210"/>
      <c r="O192" s="210">
        <v>2639955</v>
      </c>
      <c r="P192" s="210"/>
      <c r="Q192" s="254" t="s">
        <v>708</v>
      </c>
      <c r="R192" s="210"/>
      <c r="S192" s="210">
        <v>11883616188</v>
      </c>
      <c r="T192" s="210"/>
      <c r="U192" s="6">
        <v>13777298161</v>
      </c>
      <c r="V192" s="25"/>
      <c r="W192" s="26">
        <f>U192/درآمدها!$J$5</f>
        <v>3.5195887782259114E-3</v>
      </c>
      <c r="X192" s="172"/>
      <c r="Y192" s="209"/>
      <c r="Z192" s="181"/>
    </row>
    <row r="193" spans="1:25" ht="30" thickBot="1">
      <c r="A193" s="117"/>
      <c r="C193" s="210">
        <f>SUM(C10:C192)</f>
        <v>315870582</v>
      </c>
      <c r="D193" s="145"/>
      <c r="E193" s="145">
        <f>SUM(E10:E192)</f>
        <v>1864111627536</v>
      </c>
      <c r="F193" s="210"/>
      <c r="G193" s="146">
        <f>SUM(G10:G192)</f>
        <v>1942248667537.9341</v>
      </c>
      <c r="H193" s="210"/>
      <c r="I193" s="210"/>
      <c r="J193" s="145">
        <f>SUM(J10:J192)</f>
        <v>1419884355762</v>
      </c>
      <c r="K193" s="25"/>
      <c r="L193" s="210"/>
      <c r="M193" s="145">
        <f>SUM(M10:M192)</f>
        <v>56428942417</v>
      </c>
      <c r="N193" s="210"/>
      <c r="P193" s="210"/>
      <c r="Q193" s="230"/>
      <c r="R193" s="210"/>
      <c r="S193" s="145">
        <f>SUM(S10:S192)</f>
        <v>3227567040881</v>
      </c>
      <c r="T193" s="210"/>
      <c r="U193" s="146">
        <f>SUM(U10:U192)</f>
        <v>3674169493535</v>
      </c>
      <c r="V193" s="25"/>
      <c r="W193" s="161">
        <f>SUM(W10:W192)</f>
        <v>0.93861405680772148</v>
      </c>
      <c r="Y193" s="209"/>
    </row>
    <row r="194" spans="1:25" ht="30" thickTop="1"/>
    <row r="196" spans="1:25">
      <c r="E196" s="170"/>
      <c r="G196" s="210"/>
      <c r="U196" s="255">
        <v>0</v>
      </c>
      <c r="W196" s="6"/>
    </row>
    <row r="197" spans="1:25">
      <c r="G197" s="6">
        <v>0</v>
      </c>
      <c r="O197" s="128"/>
      <c r="Q197" s="82"/>
      <c r="U197" s="6">
        <v>0</v>
      </c>
      <c r="W197" s="6"/>
    </row>
    <row r="198" spans="1:25">
      <c r="O198" s="82"/>
      <c r="Q198" s="82"/>
      <c r="U198" s="6">
        <v>0</v>
      </c>
      <c r="W198" s="173"/>
    </row>
    <row r="199" spans="1:25" ht="30.6">
      <c r="E199" s="159"/>
      <c r="G199" s="210"/>
      <c r="U199" s="6">
        <v>0</v>
      </c>
      <c r="W199" s="173"/>
    </row>
    <row r="200" spans="1:25">
      <c r="E200" s="160"/>
      <c r="G200" s="210"/>
      <c r="U200" s="6"/>
      <c r="W200" s="173"/>
    </row>
    <row r="201" spans="1:25" ht="30.6">
      <c r="E201" s="172"/>
      <c r="G201" s="159"/>
      <c r="U201" s="6"/>
    </row>
    <row r="202" spans="1:25">
      <c r="G202" s="160"/>
      <c r="U202" s="6"/>
    </row>
    <row r="203" spans="1:25" ht="30.6">
      <c r="U203" s="177"/>
    </row>
  </sheetData>
  <autoFilter ref="A9:W9" xr:uid="{00000000-0009-0000-0000-000001000000}">
    <sortState xmlns:xlrd2="http://schemas.microsoft.com/office/spreadsheetml/2017/richdata2" ref="A11:W193">
      <sortCondition ref="A9"/>
    </sortState>
  </autoFilter>
  <mergeCells count="23">
    <mergeCell ref="C7:G7"/>
    <mergeCell ref="O7:W7"/>
    <mergeCell ref="F8:F9"/>
    <mergeCell ref="G8:G9"/>
    <mergeCell ref="U8:U9"/>
    <mergeCell ref="Q8:Q9"/>
    <mergeCell ref="W8:W9"/>
    <mergeCell ref="A1:W1"/>
    <mergeCell ref="A2:W2"/>
    <mergeCell ref="A3:W3"/>
    <mergeCell ref="A8:A9"/>
    <mergeCell ref="I8:J8"/>
    <mergeCell ref="L8:M8"/>
    <mergeCell ref="P8:P9"/>
    <mergeCell ref="T8:T9"/>
    <mergeCell ref="S8:S9"/>
    <mergeCell ref="O8:O9"/>
    <mergeCell ref="E8:E9"/>
    <mergeCell ref="C8:C9"/>
    <mergeCell ref="D8:D9"/>
    <mergeCell ref="A5:W5"/>
    <mergeCell ref="A4:W4"/>
    <mergeCell ref="I7:M7"/>
  </mergeCells>
  <phoneticPr fontId="57" type="noConversion"/>
  <conditionalFormatting sqref="Y9:Y170 Y172:Y193">
    <cfRule type="cellIs" dxfId="2" priority="4" operator="notEqual">
      <formula>$Y$9</formula>
    </cfRule>
  </conditionalFormatting>
  <conditionalFormatting sqref="Y8">
    <cfRule type="cellIs" dxfId="1" priority="3" operator="notEqual">
      <formula>$Y$9</formula>
    </cfRule>
  </conditionalFormatting>
  <conditionalFormatting sqref="Y171">
    <cfRule type="cellIs" dxfId="0" priority="2" operator="notEqual">
      <formula>$Y$9</formula>
    </cfRule>
  </conditionalFormatting>
  <printOptions horizontalCentered="1"/>
  <pageMargins left="0" right="0" top="0.74803149606299202" bottom="0.74803149606299202" header="0.31496062992126" footer="0.31496062992126"/>
  <pageSetup paperSize="9" scale="4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J25"/>
  <sheetViews>
    <sheetView rightToLeft="1" tabSelected="1" view="pageBreakPreview" zoomScale="50" zoomScaleNormal="100" zoomScaleSheetLayoutView="50" workbookViewId="0">
      <selection activeCell="Y7" sqref="Y7:Y8"/>
    </sheetView>
  </sheetViews>
  <sheetFormatPr defaultColWidth="9.109375" defaultRowHeight="16.2"/>
  <cols>
    <col min="1" max="1" width="29" style="14" customWidth="1"/>
    <col min="2" max="2" width="0.5546875" style="14" customWidth="1"/>
    <col min="3" max="3" width="12.5546875" style="14" customWidth="1"/>
    <col min="4" max="4" width="0.5546875" style="14" customWidth="1"/>
    <col min="5" max="5" width="29.109375" style="14" customWidth="1"/>
    <col min="6" max="6" width="0.5546875" style="14" customWidth="1"/>
    <col min="7" max="7" width="20.33203125" style="14" bestFit="1" customWidth="1"/>
    <col min="8" max="8" width="0.5546875" style="14" customWidth="1"/>
    <col min="9" max="9" width="16.5546875" style="14" bestFit="1" customWidth="1"/>
    <col min="10" max="10" width="0.44140625" style="14" customWidth="1"/>
    <col min="11" max="11" width="17.33203125" style="14" bestFit="1" customWidth="1"/>
    <col min="12" max="12" width="0.6640625" style="14" customWidth="1"/>
    <col min="13" max="13" width="7.88671875" style="14" bestFit="1" customWidth="1"/>
    <col min="14" max="14" width="1.109375" style="14" customWidth="1"/>
    <col min="15" max="15" width="17.33203125" style="14" bestFit="1" customWidth="1"/>
    <col min="16" max="16" width="0.5546875" style="14" customWidth="1"/>
    <col min="17" max="17" width="22.5546875" style="14" bestFit="1" customWidth="1"/>
    <col min="18" max="18" width="0.5546875" style="14" customWidth="1"/>
    <col min="19" max="19" width="13.6640625" style="14" bestFit="1" customWidth="1"/>
    <col min="20" max="20" width="17.33203125" style="14" bestFit="1" customWidth="1"/>
    <col min="21" max="21" width="0.5546875" style="14" customWidth="1"/>
    <col min="22" max="22" width="7.88671875" style="14" bestFit="1" customWidth="1"/>
    <col min="23" max="23" width="13.109375" style="14" bestFit="1" customWidth="1"/>
    <col min="24" max="24" width="0.5546875" style="14" customWidth="1"/>
    <col min="25" max="25" width="7.88671875" style="14" bestFit="1" customWidth="1"/>
    <col min="26" max="26" width="0.44140625" style="14" customWidth="1"/>
    <col min="27" max="27" width="21" style="14" bestFit="1" customWidth="1"/>
    <col min="28" max="28" width="0.6640625" style="14" customWidth="1"/>
    <col min="29" max="29" width="17.33203125" style="14" bestFit="1" customWidth="1"/>
    <col min="30" max="30" width="0.6640625" style="14" customWidth="1"/>
    <col min="31" max="31" width="22.5546875" style="14" bestFit="1" customWidth="1"/>
    <col min="32" max="32" width="0.6640625" style="14" customWidth="1"/>
    <col min="33" max="33" width="16.5546875" style="14" customWidth="1"/>
    <col min="34" max="34" width="20.44140625" style="14" customWidth="1"/>
    <col min="35" max="35" width="25.44140625" style="14" bestFit="1" customWidth="1"/>
    <col min="36" max="36" width="14.5546875" style="14" bestFit="1" customWidth="1"/>
    <col min="37" max="16384" width="9.109375" style="14"/>
  </cols>
  <sheetData>
    <row r="1" spans="1:36" s="4" customFormat="1" ht="25.2">
      <c r="A1" s="281" t="s">
        <v>84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1"/>
      <c r="Q1" s="281"/>
      <c r="R1" s="281"/>
      <c r="S1" s="281"/>
      <c r="T1" s="281"/>
      <c r="U1" s="281"/>
      <c r="V1" s="281"/>
      <c r="W1" s="281"/>
      <c r="X1" s="281"/>
      <c r="Y1" s="281"/>
      <c r="Z1" s="281"/>
      <c r="AA1" s="281"/>
      <c r="AB1" s="281"/>
      <c r="AC1" s="281"/>
      <c r="AD1" s="281"/>
      <c r="AE1" s="281"/>
      <c r="AF1" s="281"/>
      <c r="AG1" s="281"/>
    </row>
    <row r="2" spans="1:36" s="4" customFormat="1" ht="25.2">
      <c r="A2" s="281" t="s">
        <v>47</v>
      </c>
      <c r="B2" s="281"/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  <c r="N2" s="281"/>
      <c r="O2" s="281"/>
      <c r="P2" s="281"/>
      <c r="Q2" s="281"/>
      <c r="R2" s="281"/>
      <c r="S2" s="281"/>
      <c r="T2" s="281"/>
      <c r="U2" s="281"/>
      <c r="V2" s="281"/>
      <c r="W2" s="281"/>
      <c r="X2" s="281"/>
      <c r="Y2" s="281"/>
      <c r="Z2" s="281"/>
      <c r="AA2" s="281"/>
      <c r="AB2" s="281"/>
      <c r="AC2" s="281"/>
      <c r="AD2" s="281"/>
      <c r="AE2" s="281"/>
      <c r="AF2" s="281"/>
      <c r="AG2" s="281"/>
    </row>
    <row r="3" spans="1:36" s="4" customFormat="1" ht="25.2">
      <c r="A3" s="281" t="str">
        <f>' سهام'!A3:W3</f>
        <v>برای ماه منتهی به 1401/10/30</v>
      </c>
      <c r="B3" s="281"/>
      <c r="C3" s="281"/>
      <c r="D3" s="281"/>
      <c r="E3" s="281"/>
      <c r="F3" s="281"/>
      <c r="G3" s="281"/>
      <c r="H3" s="281"/>
      <c r="I3" s="281"/>
      <c r="J3" s="281"/>
      <c r="K3" s="281"/>
      <c r="L3" s="281"/>
      <c r="M3" s="281"/>
      <c r="N3" s="281"/>
      <c r="O3" s="281"/>
      <c r="P3" s="281"/>
      <c r="Q3" s="281"/>
      <c r="R3" s="281"/>
      <c r="S3" s="281"/>
      <c r="T3" s="281"/>
      <c r="U3" s="281"/>
      <c r="V3" s="281"/>
      <c r="W3" s="281"/>
      <c r="X3" s="281"/>
      <c r="Y3" s="281"/>
      <c r="Z3" s="281"/>
      <c r="AA3" s="281"/>
      <c r="AB3" s="281"/>
      <c r="AC3" s="281"/>
      <c r="AD3" s="281"/>
      <c r="AE3" s="281"/>
      <c r="AF3" s="281"/>
      <c r="AG3" s="281"/>
    </row>
    <row r="4" spans="1:36" ht="25.2">
      <c r="A4" s="282" t="s">
        <v>61</v>
      </c>
      <c r="B4" s="282"/>
      <c r="C4" s="282"/>
      <c r="D4" s="282"/>
      <c r="E4" s="282"/>
      <c r="F4" s="282"/>
      <c r="G4" s="282"/>
      <c r="H4" s="282"/>
      <c r="I4" s="282"/>
      <c r="J4" s="282"/>
      <c r="K4" s="282"/>
      <c r="L4" s="282"/>
      <c r="M4" s="282"/>
      <c r="N4" s="282"/>
      <c r="O4" s="282"/>
      <c r="P4" s="282"/>
      <c r="Q4" s="282"/>
      <c r="R4" s="282"/>
      <c r="S4" s="282"/>
      <c r="T4" s="282"/>
      <c r="U4" s="282"/>
      <c r="V4" s="282"/>
      <c r="W4" s="282"/>
      <c r="X4" s="282"/>
      <c r="Y4" s="282"/>
      <c r="Z4" s="282"/>
      <c r="AA4" s="282"/>
      <c r="AB4" s="282"/>
      <c r="AC4" s="282"/>
      <c r="AD4" s="282"/>
      <c r="AE4" s="282"/>
      <c r="AF4" s="282"/>
      <c r="AG4" s="282"/>
    </row>
    <row r="5" spans="1:36" ht="25.2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</row>
    <row r="6" spans="1:36" ht="27.75" customHeight="1" thickBot="1">
      <c r="A6" s="283" t="s">
        <v>62</v>
      </c>
      <c r="B6" s="283"/>
      <c r="C6" s="283"/>
      <c r="D6" s="283"/>
      <c r="E6" s="283"/>
      <c r="F6" s="283"/>
      <c r="G6" s="283"/>
      <c r="H6" s="283"/>
      <c r="I6" s="283"/>
      <c r="J6" s="283"/>
      <c r="K6" s="283"/>
      <c r="L6" s="283"/>
      <c r="M6" s="283" t="s">
        <v>514</v>
      </c>
      <c r="N6" s="283"/>
      <c r="O6" s="283"/>
      <c r="P6" s="283"/>
      <c r="Q6" s="283"/>
      <c r="R6" s="15"/>
      <c r="S6" s="284" t="s">
        <v>7</v>
      </c>
      <c r="T6" s="284"/>
      <c r="U6" s="284"/>
      <c r="V6" s="284"/>
      <c r="W6" s="284"/>
      <c r="X6" s="17"/>
      <c r="Y6" s="283" t="s">
        <v>534</v>
      </c>
      <c r="Z6" s="283"/>
      <c r="AA6" s="283"/>
      <c r="AB6" s="283"/>
      <c r="AC6" s="283"/>
      <c r="AD6" s="283"/>
      <c r="AE6" s="283"/>
      <c r="AF6" s="283"/>
      <c r="AG6" s="283"/>
    </row>
    <row r="7" spans="1:36" ht="26.25" customHeight="1">
      <c r="A7" s="286" t="s">
        <v>63</v>
      </c>
      <c r="B7" s="214"/>
      <c r="C7" s="287" t="s">
        <v>64</v>
      </c>
      <c r="D7" s="214"/>
      <c r="E7" s="289" t="s">
        <v>69</v>
      </c>
      <c r="F7" s="214"/>
      <c r="G7" s="285" t="s">
        <v>65</v>
      </c>
      <c r="H7" s="214"/>
      <c r="I7" s="287" t="s">
        <v>23</v>
      </c>
      <c r="J7" s="214"/>
      <c r="K7" s="289" t="s">
        <v>66</v>
      </c>
      <c r="L7" s="16"/>
      <c r="M7" s="290" t="s">
        <v>3</v>
      </c>
      <c r="N7" s="285"/>
      <c r="O7" s="285" t="s">
        <v>0</v>
      </c>
      <c r="P7" s="285"/>
      <c r="Q7" s="285" t="s">
        <v>21</v>
      </c>
      <c r="R7" s="214"/>
      <c r="S7" s="281" t="s">
        <v>4</v>
      </c>
      <c r="T7" s="281"/>
      <c r="U7" s="17"/>
      <c r="V7" s="281" t="s">
        <v>5</v>
      </c>
      <c r="W7" s="281"/>
      <c r="X7" s="17"/>
      <c r="Y7" s="290" t="s">
        <v>3</v>
      </c>
      <c r="Z7" s="286"/>
      <c r="AA7" s="285" t="s">
        <v>67</v>
      </c>
      <c r="AB7" s="214"/>
      <c r="AC7" s="285" t="s">
        <v>0</v>
      </c>
      <c r="AD7" s="286"/>
      <c r="AE7" s="285" t="s">
        <v>21</v>
      </c>
      <c r="AF7" s="18"/>
      <c r="AG7" s="285" t="s">
        <v>22</v>
      </c>
    </row>
    <row r="8" spans="1:36" s="22" customFormat="1" ht="55.5" customHeight="1" thickBot="1">
      <c r="A8" s="283"/>
      <c r="B8" s="214"/>
      <c r="C8" s="288"/>
      <c r="D8" s="214"/>
      <c r="E8" s="288"/>
      <c r="F8" s="214"/>
      <c r="G8" s="283"/>
      <c r="H8" s="214"/>
      <c r="I8" s="288"/>
      <c r="J8" s="214"/>
      <c r="K8" s="288"/>
      <c r="L8" s="15"/>
      <c r="M8" s="291"/>
      <c r="N8" s="286"/>
      <c r="O8" s="283"/>
      <c r="P8" s="286"/>
      <c r="Q8" s="283"/>
      <c r="R8" s="214"/>
      <c r="S8" s="19" t="s">
        <v>3</v>
      </c>
      <c r="T8" s="19" t="s">
        <v>0</v>
      </c>
      <c r="U8" s="20"/>
      <c r="V8" s="19" t="s">
        <v>3</v>
      </c>
      <c r="W8" s="19" t="s">
        <v>46</v>
      </c>
      <c r="X8" s="20"/>
      <c r="Y8" s="291"/>
      <c r="Z8" s="286"/>
      <c r="AA8" s="283"/>
      <c r="AB8" s="214"/>
      <c r="AC8" s="283"/>
      <c r="AD8" s="286"/>
      <c r="AE8" s="283"/>
      <c r="AF8" s="18"/>
      <c r="AG8" s="283"/>
      <c r="AH8" s="21"/>
      <c r="AJ8" s="21"/>
    </row>
    <row r="9" spans="1:36" s="22" customFormat="1" ht="55.5" customHeight="1" thickBot="1">
      <c r="A9" s="23" t="s">
        <v>81</v>
      </c>
      <c r="B9" s="214"/>
      <c r="C9" s="24" t="s">
        <v>277</v>
      </c>
      <c r="D9" s="8"/>
      <c r="E9" s="24" t="s">
        <v>249</v>
      </c>
      <c r="F9" s="8"/>
      <c r="G9" s="24" t="s">
        <v>81</v>
      </c>
      <c r="H9" s="8"/>
      <c r="I9" s="24" t="s">
        <v>81</v>
      </c>
      <c r="J9" s="24"/>
      <c r="K9" s="210">
        <v>0</v>
      </c>
      <c r="L9" s="15"/>
      <c r="M9" s="6">
        <v>0</v>
      </c>
      <c r="N9" s="25"/>
      <c r="O9" s="6">
        <v>0</v>
      </c>
      <c r="P9" s="6"/>
      <c r="Q9" s="6">
        <v>0</v>
      </c>
      <c r="R9" s="6"/>
      <c r="S9" s="6">
        <v>0</v>
      </c>
      <c r="T9" s="6">
        <v>0</v>
      </c>
      <c r="U9" s="6"/>
      <c r="V9" s="6">
        <v>0</v>
      </c>
      <c r="W9" s="6">
        <v>0</v>
      </c>
      <c r="X9" s="6"/>
      <c r="Y9" s="6">
        <v>0</v>
      </c>
      <c r="Z9" s="6"/>
      <c r="AA9" s="6">
        <v>0</v>
      </c>
      <c r="AB9" s="6"/>
      <c r="AC9" s="6">
        <v>0</v>
      </c>
      <c r="AD9" s="6"/>
      <c r="AE9" s="6">
        <v>0</v>
      </c>
      <c r="AG9" s="26">
        <f>AE9/درآمدها!$J$5</f>
        <v>0</v>
      </c>
      <c r="AH9" s="21"/>
      <c r="AI9" s="6"/>
      <c r="AJ9" s="21"/>
    </row>
    <row r="10" spans="1:36" s="22" customFormat="1" ht="55.5" customHeight="1" thickBot="1">
      <c r="A10" s="27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14"/>
      <c r="N10" s="14"/>
      <c r="O10" s="13">
        <f>SUM(O9:O9)</f>
        <v>0</v>
      </c>
      <c r="P10" s="14"/>
      <c r="Q10" s="13">
        <f>SUM(Q9:Q9)</f>
        <v>0</v>
      </c>
      <c r="R10" s="14"/>
      <c r="S10" s="14"/>
      <c r="T10" s="13">
        <f>SUM(T9:T9)</f>
        <v>0</v>
      </c>
      <c r="U10" s="14"/>
      <c r="V10" s="14"/>
      <c r="W10" s="13">
        <f>SUM(W9:W9)</f>
        <v>0</v>
      </c>
      <c r="X10" s="14"/>
      <c r="Y10" s="14"/>
      <c r="Z10" s="14"/>
      <c r="AA10" s="14"/>
      <c r="AB10" s="14"/>
      <c r="AC10" s="13">
        <f>SUM(AC9:AC9)</f>
        <v>0</v>
      </c>
      <c r="AD10" s="14"/>
      <c r="AE10" s="13">
        <f>SUM(AE9:AE9)</f>
        <v>0</v>
      </c>
      <c r="AF10" s="14"/>
      <c r="AG10" s="29">
        <f>SUM(AG9:AG9)</f>
        <v>0</v>
      </c>
      <c r="AH10" s="21"/>
      <c r="AI10" s="6"/>
      <c r="AJ10" s="21"/>
    </row>
    <row r="11" spans="1:36" s="22" customFormat="1" ht="55.5" customHeight="1" thickTop="1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14"/>
      <c r="N11" s="14"/>
      <c r="O11" s="31"/>
      <c r="P11" s="14"/>
      <c r="Q11" s="31"/>
      <c r="R11" s="14"/>
      <c r="S11" s="14"/>
      <c r="T11" s="31"/>
      <c r="U11" s="14"/>
      <c r="V11" s="14"/>
      <c r="W11" s="31"/>
      <c r="X11" s="14"/>
      <c r="Y11" s="14"/>
      <c r="Z11" s="14"/>
      <c r="AA11" s="14"/>
      <c r="AB11" s="14"/>
      <c r="AC11" s="31"/>
      <c r="AD11" s="14"/>
      <c r="AE11" s="31"/>
      <c r="AF11" s="14"/>
      <c r="AG11" s="31"/>
      <c r="AH11" s="21"/>
      <c r="AJ11" s="21"/>
    </row>
    <row r="12" spans="1:36" s="22" customFormat="1" ht="55.5" customHeight="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21"/>
      <c r="AI12" s="6"/>
      <c r="AJ12" s="21"/>
    </row>
    <row r="13" spans="1:36" s="30" customFormat="1" ht="29.4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26"/>
      <c r="AJ13" s="21"/>
    </row>
    <row r="14" spans="1:36" s="31" customFormat="1" ht="30.6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26"/>
      <c r="AD14" s="6"/>
      <c r="AE14" s="6"/>
      <c r="AF14" s="6"/>
      <c r="AG14" s="26"/>
    </row>
    <row r="15" spans="1:36" s="6" customFormat="1" ht="29.4">
      <c r="AC15" s="26"/>
      <c r="AG15" s="26"/>
    </row>
    <row r="16" spans="1:36" s="6" customFormat="1" ht="29.4">
      <c r="AC16" s="26"/>
      <c r="AG16" s="32"/>
    </row>
    <row r="17" spans="1:33" s="6" customFormat="1" ht="29.4"/>
    <row r="18" spans="1:33" s="6" customFormat="1" ht="29.4"/>
    <row r="19" spans="1:33" s="6" customFormat="1" ht="29.4"/>
    <row r="20" spans="1:33" s="6" customFormat="1" ht="29.4"/>
    <row r="21" spans="1:33" s="6" customFormat="1" ht="29.4"/>
    <row r="22" spans="1:33" s="6" customFormat="1" ht="29.4"/>
    <row r="23" spans="1:33" s="6" customFormat="1" ht="29.4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</row>
    <row r="24" spans="1:33" s="6" customFormat="1" ht="29.4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</row>
    <row r="25" spans="1:33" s="6" customFormat="1" ht="29.4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</row>
  </sheetData>
  <mergeCells count="28">
    <mergeCell ref="AD7:AD8"/>
    <mergeCell ref="AE7:AE8"/>
    <mergeCell ref="AG7:AG8"/>
    <mergeCell ref="S7:T7"/>
    <mergeCell ref="V7:W7"/>
    <mergeCell ref="Y7:Y8"/>
    <mergeCell ref="Z7:Z8"/>
    <mergeCell ref="AA7:AA8"/>
    <mergeCell ref="AC7:AC8"/>
    <mergeCell ref="Q7:Q8"/>
    <mergeCell ref="A7:A8"/>
    <mergeCell ref="C7:C8"/>
    <mergeCell ref="E7:E8"/>
    <mergeCell ref="G7:G8"/>
    <mergeCell ref="I7:I8"/>
    <mergeCell ref="K7:K8"/>
    <mergeCell ref="M7:M8"/>
    <mergeCell ref="N7:N8"/>
    <mergeCell ref="O7:O8"/>
    <mergeCell ref="P7:P8"/>
    <mergeCell ref="A1:AG1"/>
    <mergeCell ref="A2:AG2"/>
    <mergeCell ref="A3:AG3"/>
    <mergeCell ref="A4:AG4"/>
    <mergeCell ref="A6:L6"/>
    <mergeCell ref="M6:Q6"/>
    <mergeCell ref="S6:W6"/>
    <mergeCell ref="Y6:AG6"/>
  </mergeCells>
  <pageMargins left="0.25" right="0.25" top="0.75" bottom="0.75" header="0.3" footer="0.3"/>
  <pageSetup paperSize="9" scale="4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U20"/>
  <sheetViews>
    <sheetView rightToLeft="1" view="pageBreakPreview" zoomScaleNormal="100" zoomScaleSheetLayoutView="100" workbookViewId="0">
      <selection activeCell="C23" sqref="C23"/>
    </sheetView>
  </sheetViews>
  <sheetFormatPr defaultColWidth="9.109375" defaultRowHeight="15.6"/>
  <cols>
    <col min="1" max="1" width="23.33203125" style="33" customWidth="1"/>
    <col min="2" max="2" width="0.6640625" style="33" customWidth="1"/>
    <col min="3" max="3" width="27.109375" style="33" bestFit="1" customWidth="1"/>
    <col min="4" max="4" width="0.6640625" style="33" customWidth="1"/>
    <col min="5" max="5" width="9.5546875" style="33" bestFit="1" customWidth="1"/>
    <col min="6" max="6" width="0.6640625" style="33" customWidth="1"/>
    <col min="7" max="7" width="15.88671875" style="33" bestFit="1" customWidth="1"/>
    <col min="8" max="8" width="0.6640625" style="33" customWidth="1"/>
    <col min="9" max="9" width="9.33203125" style="33" customWidth="1"/>
    <col min="10" max="10" width="0.5546875" style="33" customWidth="1"/>
    <col min="11" max="11" width="21.33203125" style="52" customWidth="1"/>
    <col min="12" max="12" width="0.6640625" style="33" customWidth="1"/>
    <col min="13" max="13" width="21.88671875" style="33" customWidth="1"/>
    <col min="14" max="14" width="0.44140625" style="33" customWidth="1"/>
    <col min="15" max="15" width="22.109375" style="33" customWidth="1"/>
    <col min="16" max="16" width="0.44140625" style="33" customWidth="1"/>
    <col min="17" max="17" width="21.109375" style="33" bestFit="1" customWidth="1"/>
    <col min="18" max="18" width="0.5546875" style="33" customWidth="1"/>
    <col min="19" max="19" width="12.109375" style="33" customWidth="1"/>
    <col min="20" max="16384" width="9.109375" style="33"/>
  </cols>
  <sheetData>
    <row r="1" spans="1:21" ht="18.600000000000001">
      <c r="A1" s="296" t="s">
        <v>84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6"/>
      <c r="R1" s="296"/>
      <c r="S1" s="296"/>
    </row>
    <row r="2" spans="1:21" ht="18.600000000000001">
      <c r="A2" s="296" t="s">
        <v>47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s="296"/>
      <c r="S2" s="296"/>
    </row>
    <row r="3" spans="1:21" ht="18.600000000000001">
      <c r="A3" s="296" t="str">
        <f>' سهام'!A3:W3</f>
        <v>برای ماه منتهی به 1401/10/30</v>
      </c>
      <c r="B3" s="296"/>
      <c r="C3" s="296"/>
      <c r="D3" s="296"/>
      <c r="E3" s="296"/>
      <c r="F3" s="296"/>
      <c r="G3" s="296"/>
      <c r="H3" s="296"/>
      <c r="I3" s="296"/>
      <c r="J3" s="296"/>
      <c r="K3" s="296"/>
      <c r="L3" s="296"/>
      <c r="M3" s="296"/>
      <c r="N3" s="296"/>
      <c r="O3" s="296"/>
      <c r="P3" s="296"/>
      <c r="Q3" s="296"/>
      <c r="R3" s="296"/>
      <c r="S3" s="296"/>
    </row>
    <row r="4" spans="1:21" ht="18.600000000000001">
      <c r="A4" s="299" t="s">
        <v>48</v>
      </c>
      <c r="B4" s="299"/>
      <c r="C4" s="299"/>
      <c r="D4" s="299"/>
      <c r="E4" s="299"/>
      <c r="F4" s="299"/>
      <c r="G4" s="299"/>
      <c r="H4" s="299"/>
      <c r="I4" s="299"/>
      <c r="J4" s="299"/>
      <c r="K4" s="299"/>
      <c r="L4" s="299"/>
      <c r="M4" s="299"/>
      <c r="N4" s="299"/>
      <c r="O4" s="299"/>
      <c r="P4" s="299"/>
      <c r="Q4" s="299"/>
      <c r="R4" s="299"/>
      <c r="S4" s="299"/>
    </row>
    <row r="5" spans="1:21" ht="18.600000000000001" thickBot="1">
      <c r="A5" s="5"/>
      <c r="B5" s="5"/>
      <c r="C5" s="34"/>
      <c r="D5" s="34"/>
      <c r="E5" s="34"/>
      <c r="F5" s="34"/>
      <c r="G5" s="34"/>
      <c r="H5" s="34"/>
      <c r="I5" s="34"/>
      <c r="J5" s="34"/>
      <c r="K5" s="35"/>
      <c r="L5" s="34"/>
      <c r="M5" s="34"/>
      <c r="N5" s="34"/>
      <c r="O5" s="34"/>
      <c r="P5" s="34"/>
      <c r="Q5" s="34"/>
      <c r="R5" s="34"/>
      <c r="S5" s="34"/>
    </row>
    <row r="6" spans="1:21" ht="18.75" customHeight="1" thickBot="1">
      <c r="A6" s="36"/>
      <c r="B6" s="5"/>
      <c r="C6" s="294" t="s">
        <v>11</v>
      </c>
      <c r="D6" s="294"/>
      <c r="E6" s="294"/>
      <c r="F6" s="294"/>
      <c r="G6" s="294"/>
      <c r="H6" s="294"/>
      <c r="I6" s="294"/>
      <c r="J6" s="37"/>
      <c r="K6" s="38" t="str">
        <f>اوراق!M6</f>
        <v>1401/09/30</v>
      </c>
      <c r="L6" s="229"/>
      <c r="M6" s="295" t="s">
        <v>7</v>
      </c>
      <c r="N6" s="295"/>
      <c r="O6" s="295"/>
      <c r="P6" s="5"/>
      <c r="Q6" s="294" t="str">
        <f>اوراق!Y6</f>
        <v>1401/10/30</v>
      </c>
      <c r="R6" s="294"/>
      <c r="S6" s="294"/>
    </row>
    <row r="7" spans="1:21" ht="24" customHeight="1">
      <c r="A7" s="302" t="s">
        <v>8</v>
      </c>
      <c r="B7" s="39"/>
      <c r="C7" s="306" t="s">
        <v>9</v>
      </c>
      <c r="D7" s="39"/>
      <c r="E7" s="306" t="s">
        <v>10</v>
      </c>
      <c r="F7" s="39"/>
      <c r="G7" s="306" t="s">
        <v>33</v>
      </c>
      <c r="H7" s="39"/>
      <c r="I7" s="306" t="s">
        <v>78</v>
      </c>
      <c r="J7" s="302"/>
      <c r="K7" s="304" t="s">
        <v>6</v>
      </c>
      <c r="L7" s="39"/>
      <c r="M7" s="292" t="s">
        <v>35</v>
      </c>
      <c r="N7" s="40"/>
      <c r="O7" s="292" t="s">
        <v>36</v>
      </c>
      <c r="P7" s="5"/>
      <c r="Q7" s="300" t="s">
        <v>6</v>
      </c>
      <c r="R7" s="302"/>
      <c r="S7" s="297" t="s">
        <v>22</v>
      </c>
    </row>
    <row r="8" spans="1:21" ht="18.600000000000001" thickBot="1">
      <c r="A8" s="303"/>
      <c r="B8" s="39"/>
      <c r="C8" s="298"/>
      <c r="D8" s="41"/>
      <c r="E8" s="298"/>
      <c r="F8" s="41"/>
      <c r="G8" s="298"/>
      <c r="H8" s="41"/>
      <c r="I8" s="298"/>
      <c r="J8" s="302"/>
      <c r="K8" s="305"/>
      <c r="L8" s="39"/>
      <c r="M8" s="293"/>
      <c r="N8" s="5"/>
      <c r="O8" s="293"/>
      <c r="P8" s="5"/>
      <c r="Q8" s="301"/>
      <c r="R8" s="302"/>
      <c r="S8" s="298"/>
    </row>
    <row r="9" spans="1:21" ht="18">
      <c r="A9" s="217" t="s">
        <v>444</v>
      </c>
      <c r="B9" s="39"/>
      <c r="C9" s="121" t="s">
        <v>445</v>
      </c>
      <c r="D9" s="39"/>
      <c r="E9" s="44" t="s">
        <v>80</v>
      </c>
      <c r="F9" s="39"/>
      <c r="G9" s="121" t="s">
        <v>81</v>
      </c>
      <c r="H9" s="39"/>
      <c r="I9" s="121" t="s">
        <v>81</v>
      </c>
      <c r="J9" s="217"/>
      <c r="K9" s="218">
        <v>800390</v>
      </c>
      <c r="L9" s="39"/>
      <c r="M9" s="150">
        <v>2501</v>
      </c>
      <c r="N9" s="158"/>
      <c r="O9" s="150">
        <v>420000</v>
      </c>
      <c r="P9" s="67"/>
      <c r="Q9" s="218">
        <v>382891</v>
      </c>
      <c r="R9" s="217"/>
      <c r="S9" s="157">
        <f>Q9/درآمدها!$J$5</f>
        <v>9.7814451798572604E-8</v>
      </c>
    </row>
    <row r="10" spans="1:21" ht="18">
      <c r="A10" s="217" t="s">
        <v>458</v>
      </c>
      <c r="B10" s="39"/>
      <c r="C10" s="121" t="s">
        <v>459</v>
      </c>
      <c r="D10" s="39"/>
      <c r="E10" s="44" t="s">
        <v>80</v>
      </c>
      <c r="F10" s="39"/>
      <c r="G10" s="121" t="s">
        <v>81</v>
      </c>
      <c r="H10" s="39"/>
      <c r="I10" s="121" t="s">
        <v>81</v>
      </c>
      <c r="J10" s="217"/>
      <c r="K10" s="218">
        <v>1859156</v>
      </c>
      <c r="L10" s="39"/>
      <c r="M10" s="150">
        <v>11829</v>
      </c>
      <c r="N10" s="158"/>
      <c r="O10" s="150">
        <v>420000</v>
      </c>
      <c r="P10" s="67"/>
      <c r="Q10" s="218">
        <v>1450985</v>
      </c>
      <c r="R10" s="217"/>
      <c r="S10" s="157">
        <f>Q10/درآمدها!$J$5</f>
        <v>3.7067286079576656E-7</v>
      </c>
    </row>
    <row r="11" spans="1:21" s="5" customFormat="1" ht="18.600000000000001" thickBot="1">
      <c r="A11" s="44" t="s">
        <v>230</v>
      </c>
      <c r="C11" s="43" t="s">
        <v>231</v>
      </c>
      <c r="E11" s="44" t="s">
        <v>80</v>
      </c>
      <c r="G11" s="43" t="s">
        <v>81</v>
      </c>
      <c r="I11" s="45" t="s">
        <v>81</v>
      </c>
      <c r="J11" s="46"/>
      <c r="K11" s="46">
        <v>10421213271</v>
      </c>
      <c r="L11" s="46"/>
      <c r="M11" s="150">
        <v>1305940765845</v>
      </c>
      <c r="N11" s="46"/>
      <c r="O11" s="150">
        <v>1099892256366</v>
      </c>
      <c r="P11" s="46"/>
      <c r="Q11" s="218">
        <v>216469722750</v>
      </c>
      <c r="S11" s="157">
        <f>Q11/درآمدها!$J$5</f>
        <v>5.5299986841634431E-2</v>
      </c>
      <c r="T11" s="47"/>
      <c r="U11" s="48"/>
    </row>
    <row r="12" spans="1:21" s="5" customFormat="1" ht="18.600000000000001" thickBot="1">
      <c r="A12" s="217"/>
      <c r="B12" s="39"/>
      <c r="C12" s="39"/>
      <c r="D12" s="39"/>
      <c r="E12" s="39"/>
      <c r="F12" s="39"/>
      <c r="G12" s="39"/>
      <c r="H12" s="39"/>
      <c r="I12" s="39"/>
      <c r="J12" s="217"/>
      <c r="K12" s="50">
        <f>SUM(K9:K11)</f>
        <v>10423872817</v>
      </c>
      <c r="M12" s="50">
        <f>SUM(M9:M11)</f>
        <v>1305940780175</v>
      </c>
      <c r="O12" s="50">
        <f>SUM(O9:O11)</f>
        <v>1099893096366</v>
      </c>
      <c r="Q12" s="50">
        <f>SUM(Q9:Q11)</f>
        <v>216471556626</v>
      </c>
      <c r="S12" s="51">
        <f>SUM(S9:S11)</f>
        <v>5.5300455328947028E-2</v>
      </c>
      <c r="T12" s="47"/>
      <c r="U12" s="48"/>
    </row>
    <row r="13" spans="1:21" s="5" customFormat="1" ht="18.600000000000001" thickTop="1">
      <c r="A13" s="33"/>
      <c r="B13" s="33"/>
      <c r="C13" s="33"/>
      <c r="D13" s="33"/>
      <c r="E13" s="33"/>
      <c r="F13" s="33"/>
      <c r="G13" s="33"/>
      <c r="H13" s="33"/>
      <c r="I13" s="33"/>
      <c r="J13" s="33"/>
      <c r="K13" s="52"/>
      <c r="M13" s="33"/>
      <c r="O13" s="33"/>
      <c r="Q13" s="33"/>
      <c r="S13" s="33"/>
      <c r="T13" s="49"/>
      <c r="U13" s="48"/>
    </row>
    <row r="14" spans="1:21" s="5" customFormat="1" ht="24" customHeight="1">
      <c r="A14" s="33"/>
      <c r="B14" s="33"/>
      <c r="C14" s="33"/>
      <c r="D14" s="33"/>
      <c r="E14" s="33"/>
      <c r="F14" s="33"/>
      <c r="G14" s="33"/>
      <c r="H14" s="33"/>
      <c r="I14" s="33"/>
      <c r="J14" s="33"/>
      <c r="K14" s="52"/>
      <c r="M14" s="33"/>
      <c r="O14" s="33"/>
      <c r="Q14" s="33"/>
      <c r="S14" s="33"/>
    </row>
    <row r="15" spans="1:21" ht="21">
      <c r="K15" s="53"/>
      <c r="L15" s="53"/>
      <c r="M15" s="53"/>
      <c r="N15" s="4"/>
      <c r="O15" s="53"/>
      <c r="P15" s="53"/>
      <c r="Q15" s="53"/>
    </row>
    <row r="16" spans="1:21" ht="25.2">
      <c r="K16" s="129"/>
      <c r="L16" s="53"/>
      <c r="M16" s="129"/>
      <c r="N16" s="4"/>
      <c r="O16" s="129"/>
      <c r="P16" s="53"/>
      <c r="Q16" s="83"/>
    </row>
    <row r="17" spans="11:17" ht="24.6">
      <c r="K17" s="82"/>
      <c r="M17" s="82"/>
      <c r="O17" s="82"/>
      <c r="Q17" s="82"/>
    </row>
    <row r="18" spans="11:17" ht="21">
      <c r="K18" s="53"/>
      <c r="L18" s="53"/>
      <c r="M18" s="53"/>
      <c r="N18" s="4"/>
      <c r="O18" s="53"/>
      <c r="P18" s="53"/>
      <c r="Q18" s="69"/>
    </row>
    <row r="19" spans="11:17" ht="21">
      <c r="K19" s="53"/>
      <c r="M19" s="53"/>
      <c r="O19" s="53"/>
      <c r="Q19" s="53"/>
    </row>
    <row r="20" spans="11:17">
      <c r="Q20" s="54"/>
    </row>
  </sheetData>
  <autoFilter ref="A8:S8" xr:uid="{00000000-0009-0000-0000-000003000000}">
    <sortState xmlns:xlrd2="http://schemas.microsoft.com/office/spreadsheetml/2017/richdata2" ref="A12:S13">
      <sortCondition descending="1" ref="Q8"/>
    </sortState>
  </autoFilter>
  <mergeCells count="19">
    <mergeCell ref="G7:G8"/>
    <mergeCell ref="I7:I8"/>
    <mergeCell ref="M7:M8"/>
    <mergeCell ref="O7:O8"/>
    <mergeCell ref="C6:I6"/>
    <mergeCell ref="M6:O6"/>
    <mergeCell ref="A1:S1"/>
    <mergeCell ref="A2:S2"/>
    <mergeCell ref="A3:S3"/>
    <mergeCell ref="S7:S8"/>
    <mergeCell ref="A4:S4"/>
    <mergeCell ref="Q6:S6"/>
    <mergeCell ref="Q7:Q8"/>
    <mergeCell ref="R7:R8"/>
    <mergeCell ref="A7:A8"/>
    <mergeCell ref="J7:J8"/>
    <mergeCell ref="K7:K8"/>
    <mergeCell ref="C7:C8"/>
    <mergeCell ref="E7:E8"/>
  </mergeCells>
  <pageMargins left="0.25" right="0.25" top="0.75" bottom="0.75" header="0.3" footer="0.3"/>
  <pageSetup paperSize="9" scale="7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38"/>
  <sheetViews>
    <sheetView rightToLeft="1" view="pageBreakPreview" zoomScaleNormal="100" zoomScaleSheetLayoutView="100" workbookViewId="0">
      <selection activeCell="G15" sqref="G15"/>
    </sheetView>
  </sheetViews>
  <sheetFormatPr defaultColWidth="9.109375" defaultRowHeight="16.8"/>
  <cols>
    <col min="1" max="1" width="60.109375" style="242" customWidth="1"/>
    <col min="2" max="2" width="1" style="242" customWidth="1"/>
    <col min="3" max="3" width="9.109375" style="68"/>
    <col min="4" max="4" width="1.109375" style="68" customWidth="1"/>
    <col min="5" max="5" width="25.33203125" style="80" bestFit="1" customWidth="1"/>
    <col min="6" max="6" width="1" style="68" customWidth="1"/>
    <col min="7" max="7" width="19.6640625" style="68" customWidth="1"/>
    <col min="8" max="8" width="0.44140625" style="68" customWidth="1"/>
    <col min="9" max="9" width="24.5546875" style="68" customWidth="1"/>
    <col min="10" max="11" width="24" style="246" bestFit="1" customWidth="1"/>
    <col min="12" max="16384" width="9.109375" style="68"/>
  </cols>
  <sheetData>
    <row r="1" spans="1:12" ht="20.399999999999999">
      <c r="A1" s="296" t="s">
        <v>84</v>
      </c>
      <c r="B1" s="296"/>
      <c r="C1" s="296"/>
      <c r="D1" s="296"/>
      <c r="E1" s="296"/>
      <c r="F1" s="296"/>
      <c r="G1" s="296"/>
      <c r="H1" s="296"/>
      <c r="I1" s="296"/>
      <c r="J1" s="233"/>
      <c r="K1" s="233"/>
    </row>
    <row r="2" spans="1:12" ht="20.399999999999999">
      <c r="A2" s="296" t="s">
        <v>47</v>
      </c>
      <c r="B2" s="296"/>
      <c r="C2" s="296"/>
      <c r="D2" s="296"/>
      <c r="E2" s="296"/>
      <c r="F2" s="296"/>
      <c r="G2" s="296"/>
      <c r="H2" s="296"/>
      <c r="I2" s="296"/>
      <c r="J2" s="234"/>
      <c r="K2" s="233"/>
    </row>
    <row r="3" spans="1:12" ht="21" thickBot="1">
      <c r="A3" s="296" t="str">
        <f>سپرده!A3</f>
        <v>برای ماه منتهی به 1401/10/30</v>
      </c>
      <c r="B3" s="296"/>
      <c r="C3" s="296"/>
      <c r="D3" s="296"/>
      <c r="E3" s="296"/>
      <c r="F3" s="296"/>
      <c r="G3" s="296"/>
      <c r="H3" s="296"/>
      <c r="I3" s="296"/>
      <c r="J3" s="233"/>
      <c r="K3" s="233"/>
    </row>
    <row r="4" spans="1:12" ht="21" thickBot="1">
      <c r="A4" s="216" t="s">
        <v>27</v>
      </c>
      <c r="B4" s="135"/>
      <c r="C4" s="135"/>
      <c r="D4" s="135"/>
      <c r="E4" s="135"/>
      <c r="F4" s="135"/>
      <c r="G4" s="135"/>
      <c r="H4" s="135"/>
      <c r="I4" s="135"/>
      <c r="J4" s="12">
        <v>553016622615</v>
      </c>
      <c r="K4" s="235" t="s">
        <v>79</v>
      </c>
    </row>
    <row r="5" spans="1:12" ht="21.75" customHeight="1" thickBot="1">
      <c r="A5" s="216"/>
      <c r="B5" s="216"/>
      <c r="C5" s="216"/>
      <c r="D5" s="216"/>
      <c r="E5" s="294" t="str">
        <f>اوراق!Y6</f>
        <v>1401/10/30</v>
      </c>
      <c r="F5" s="294"/>
      <c r="G5" s="294"/>
      <c r="H5" s="294"/>
      <c r="I5" s="294"/>
      <c r="J5" s="12">
        <v>3914462463977</v>
      </c>
      <c r="K5" s="235" t="s">
        <v>455</v>
      </c>
    </row>
    <row r="6" spans="1:12" ht="21.75" customHeight="1" thickBot="1">
      <c r="A6" s="219" t="s">
        <v>37</v>
      </c>
      <c r="B6" s="84"/>
      <c r="C6" s="1" t="s">
        <v>38</v>
      </c>
      <c r="D6" s="40"/>
      <c r="E6" s="236" t="s">
        <v>6</v>
      </c>
      <c r="F6" s="40"/>
      <c r="G6" s="1" t="s">
        <v>19</v>
      </c>
      <c r="H6" s="40"/>
      <c r="I6" s="1" t="s">
        <v>77</v>
      </c>
      <c r="J6" s="237"/>
      <c r="K6" s="237"/>
      <c r="L6" s="237"/>
    </row>
    <row r="7" spans="1:12" ht="21" customHeight="1">
      <c r="A7" s="238" t="s">
        <v>43</v>
      </c>
      <c r="B7" s="238"/>
      <c r="C7" s="239" t="s">
        <v>49</v>
      </c>
      <c r="D7" s="135"/>
      <c r="E7" s="134">
        <f>'درآمد سرمایه گذاری در سهام '!U203</f>
        <v>546763981810</v>
      </c>
      <c r="F7" s="135"/>
      <c r="G7" s="174">
        <f>E7/$E$11</f>
        <v>0.99738207109370514</v>
      </c>
      <c r="H7" s="137"/>
      <c r="I7" s="174">
        <f>E7/$J$5</f>
        <v>0.13967792176872756</v>
      </c>
      <c r="J7" s="237"/>
      <c r="K7" s="237"/>
      <c r="L7" s="237"/>
    </row>
    <row r="8" spans="1:12" ht="18.75" customHeight="1">
      <c r="A8" s="238" t="s">
        <v>44</v>
      </c>
      <c r="B8" s="238"/>
      <c r="C8" s="239" t="s">
        <v>50</v>
      </c>
      <c r="D8" s="135"/>
      <c r="E8" s="127">
        <f>'درآمد سرمایه گذاری در اوراق بها'!Q11</f>
        <v>1228793</v>
      </c>
      <c r="F8" s="135"/>
      <c r="G8" s="174">
        <f>E8/$E$11</f>
        <v>2.241508490058758E-6</v>
      </c>
      <c r="H8" s="136"/>
      <c r="I8" s="174">
        <f t="shared" ref="I8:I10" si="0">E8/$J$5</f>
        <v>3.1391104431528404E-7</v>
      </c>
      <c r="J8" s="237"/>
      <c r="K8" s="237"/>
      <c r="L8" s="237"/>
    </row>
    <row r="9" spans="1:12" ht="18.75" customHeight="1">
      <c r="A9" s="238" t="s">
        <v>45</v>
      </c>
      <c r="B9" s="238"/>
      <c r="C9" s="239" t="s">
        <v>51</v>
      </c>
      <c r="D9" s="135"/>
      <c r="E9" s="127">
        <f>'درآمد سپرده بانکی'!I11</f>
        <v>146680055</v>
      </c>
      <c r="F9" s="135"/>
      <c r="G9" s="174">
        <f>E9/$E$11</f>
        <v>2.6756710740115342E-4</v>
      </c>
      <c r="H9" s="136"/>
      <c r="I9" s="174">
        <f t="shared" si="0"/>
        <v>3.7471314733460642E-5</v>
      </c>
      <c r="J9" s="237"/>
      <c r="K9" s="237"/>
      <c r="L9" s="237"/>
    </row>
    <row r="10" spans="1:12" ht="19.5" customHeight="1" thickBot="1">
      <c r="A10" s="238" t="s">
        <v>32</v>
      </c>
      <c r="B10" s="238"/>
      <c r="C10" s="239" t="s">
        <v>52</v>
      </c>
      <c r="D10" s="135"/>
      <c r="E10" s="240">
        <f>'سایر درآمدها'!E11</f>
        <v>1287237496</v>
      </c>
      <c r="F10" s="135"/>
      <c r="G10" s="174">
        <f>E10/$E$11</f>
        <v>2.3481202904036534E-3</v>
      </c>
      <c r="H10" s="136"/>
      <c r="I10" s="174">
        <f t="shared" si="0"/>
        <v>3.2884144575298792E-4</v>
      </c>
      <c r="J10" s="237"/>
      <c r="K10" s="237"/>
      <c r="L10" s="237"/>
    </row>
    <row r="11" spans="1:12" ht="19.5" customHeight="1" thickBot="1">
      <c r="A11" s="238"/>
      <c r="B11" s="241"/>
      <c r="C11" s="5"/>
      <c r="D11" s="5"/>
      <c r="E11" s="138">
        <f>SUM(E7:E10)</f>
        <v>548199128154</v>
      </c>
      <c r="F11" s="5"/>
      <c r="G11" s="175">
        <f>SUM(G7:G10)</f>
        <v>1</v>
      </c>
      <c r="H11" s="137"/>
      <c r="I11" s="259">
        <f>SUM(I7:I10)</f>
        <v>0.14004454844025835</v>
      </c>
      <c r="J11" s="237"/>
      <c r="K11" s="237"/>
      <c r="L11" s="237"/>
    </row>
    <row r="12" spans="1:12" ht="18.75" customHeight="1" thickTop="1">
      <c r="J12" s="237"/>
      <c r="K12" s="237"/>
      <c r="L12" s="237"/>
    </row>
    <row r="13" spans="1:12" ht="18" customHeight="1">
      <c r="E13" s="243"/>
      <c r="F13" s="243"/>
      <c r="G13" s="243"/>
      <c r="I13" s="208"/>
      <c r="J13" s="237"/>
      <c r="K13" s="237"/>
      <c r="L13" s="237"/>
    </row>
    <row r="14" spans="1:12" ht="18" customHeight="1">
      <c r="E14" s="244"/>
      <c r="F14" s="243"/>
      <c r="G14" s="243"/>
      <c r="I14" s="208"/>
      <c r="J14" s="237"/>
      <c r="K14" s="237"/>
      <c r="L14" s="237"/>
    </row>
    <row r="15" spans="1:12" ht="18" customHeight="1">
      <c r="E15" s="243"/>
      <c r="F15" s="243"/>
      <c r="G15" s="243"/>
      <c r="I15" s="70"/>
      <c r="J15" s="237"/>
      <c r="K15" s="237"/>
      <c r="L15" s="237"/>
    </row>
    <row r="16" spans="1:12" ht="18" customHeight="1">
      <c r="E16" s="243"/>
      <c r="F16" s="243"/>
      <c r="G16" s="243"/>
      <c r="I16" s="208"/>
      <c r="J16" s="245"/>
      <c r="K16" s="245"/>
    </row>
    <row r="17" spans="5:11" ht="17.399999999999999" customHeight="1">
      <c r="E17" s="243"/>
      <c r="F17" s="243"/>
      <c r="G17" s="243"/>
      <c r="I17" s="70"/>
      <c r="J17" s="245"/>
      <c r="K17" s="245"/>
    </row>
    <row r="18" spans="5:11" ht="17.399999999999999" customHeight="1">
      <c r="E18" s="243"/>
      <c r="F18" s="243"/>
      <c r="G18" s="243"/>
    </row>
    <row r="19" spans="5:11" ht="17.399999999999999" customHeight="1"/>
    <row r="27" spans="5:11" ht="18.75" customHeight="1"/>
    <row r="36" ht="18.75" customHeight="1"/>
    <row r="37" ht="17.399999999999999" customHeight="1"/>
    <row r="38" ht="17.399999999999999" customHeight="1"/>
  </sheetData>
  <mergeCells count="4">
    <mergeCell ref="E5:I5"/>
    <mergeCell ref="A1:I1"/>
    <mergeCell ref="A2:I2"/>
    <mergeCell ref="A3:I3"/>
  </mergeCells>
  <pageMargins left="0.25" right="0.25" top="0.75" bottom="0.75" header="0.3" footer="0.3"/>
  <pageSetup paperSize="9" fitToHeight="0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21"/>
  <sheetViews>
    <sheetView rightToLeft="1" view="pageBreakPreview" topLeftCell="D1" zoomScaleNormal="100" zoomScaleSheetLayoutView="100" workbookViewId="0">
      <selection activeCell="O9" sqref="O9"/>
    </sheetView>
  </sheetViews>
  <sheetFormatPr defaultColWidth="9.109375" defaultRowHeight="21"/>
  <cols>
    <col min="1" max="1" width="50.88671875" style="5" customWidth="1"/>
    <col min="2" max="2" width="0.88671875" style="5" customWidth="1"/>
    <col min="3" max="3" width="14" style="5" bestFit="1" customWidth="1"/>
    <col min="4" max="4" width="1.33203125" style="5" customWidth="1"/>
    <col min="5" max="5" width="12.44140625" style="5" customWidth="1"/>
    <col min="6" max="6" width="1" style="5" customWidth="1"/>
    <col min="7" max="7" width="25" style="67" bestFit="1" customWidth="1"/>
    <col min="8" max="8" width="0.88671875" style="67" customWidth="1"/>
    <col min="9" max="9" width="25" style="67" bestFit="1" customWidth="1"/>
    <col min="10" max="10" width="0.6640625" style="67" customWidth="1"/>
    <col min="11" max="11" width="23.109375" style="67" bestFit="1" customWidth="1"/>
    <col min="12" max="12" width="0.6640625" style="67" customWidth="1"/>
    <col min="13" max="13" width="23.109375" style="67" bestFit="1" customWidth="1"/>
    <col min="14" max="14" width="0.5546875" style="67" customWidth="1"/>
    <col min="15" max="15" width="17" style="67" bestFit="1" customWidth="1"/>
    <col min="16" max="16" width="0.5546875" style="67" customWidth="1"/>
    <col min="17" max="17" width="23.109375" style="67" bestFit="1" customWidth="1"/>
    <col min="18" max="18" width="13.5546875" style="5" bestFit="1" customWidth="1"/>
    <col min="19" max="19" width="17.88671875" style="5" bestFit="1" customWidth="1"/>
    <col min="20" max="20" width="21.33203125" style="5" bestFit="1" customWidth="1"/>
    <col min="21" max="21" width="17.88671875" style="55" bestFit="1" customWidth="1"/>
    <col min="22" max="22" width="9.109375" style="55"/>
    <col min="23" max="16384" width="9.109375" style="5"/>
  </cols>
  <sheetData>
    <row r="1" spans="1:22" ht="25.2">
      <c r="A1" s="281" t="s">
        <v>84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1"/>
      <c r="Q1" s="281"/>
    </row>
    <row r="2" spans="1:22" ht="25.2">
      <c r="A2" s="281" t="s">
        <v>53</v>
      </c>
      <c r="B2" s="281"/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  <c r="N2" s="281"/>
      <c r="O2" s="281"/>
      <c r="P2" s="281"/>
      <c r="Q2" s="281"/>
    </row>
    <row r="3" spans="1:22" ht="25.2">
      <c r="A3" s="281" t="str">
        <f>' سهام'!A3:W3</f>
        <v>برای ماه منتهی به 1401/10/30</v>
      </c>
      <c r="B3" s="281"/>
      <c r="C3" s="281"/>
      <c r="D3" s="281"/>
      <c r="E3" s="281"/>
      <c r="F3" s="281"/>
      <c r="G3" s="281"/>
      <c r="H3" s="281"/>
      <c r="I3" s="281"/>
      <c r="J3" s="281"/>
      <c r="K3" s="281"/>
      <c r="L3" s="281"/>
      <c r="M3" s="281"/>
      <c r="N3" s="281"/>
      <c r="O3" s="281"/>
      <c r="P3" s="281"/>
      <c r="Q3" s="281"/>
    </row>
    <row r="4" spans="1:22" ht="25.2">
      <c r="A4" s="282" t="s">
        <v>59</v>
      </c>
      <c r="B4" s="282"/>
      <c r="C4" s="282"/>
      <c r="D4" s="282"/>
      <c r="E4" s="282"/>
      <c r="F4" s="282"/>
      <c r="G4" s="282"/>
      <c r="H4" s="56"/>
      <c r="I4" s="57"/>
      <c r="J4" s="57"/>
      <c r="K4" s="57"/>
      <c r="L4" s="57"/>
      <c r="M4" s="57"/>
      <c r="N4" s="57"/>
      <c r="O4" s="57"/>
      <c r="P4" s="57"/>
      <c r="Q4" s="57"/>
    </row>
    <row r="5" spans="1:22" ht="24.75" customHeight="1" thickBot="1">
      <c r="A5" s="58"/>
      <c r="B5" s="307"/>
      <c r="C5" s="307"/>
      <c r="D5" s="307"/>
      <c r="E5" s="307"/>
      <c r="F5" s="59"/>
      <c r="G5" s="308" t="s">
        <v>535</v>
      </c>
      <c r="H5" s="308"/>
      <c r="I5" s="308"/>
      <c r="J5" s="308"/>
      <c r="K5" s="308"/>
      <c r="L5" s="57"/>
      <c r="M5" s="308" t="s">
        <v>536</v>
      </c>
      <c r="N5" s="308"/>
      <c r="O5" s="308"/>
      <c r="P5" s="308"/>
      <c r="Q5" s="308"/>
    </row>
    <row r="6" spans="1:22" ht="46.5" customHeight="1" thickBot="1">
      <c r="A6" s="60" t="s">
        <v>37</v>
      </c>
      <c r="B6" s="226"/>
      <c r="C6" s="61" t="s">
        <v>23</v>
      </c>
      <c r="D6" s="226"/>
      <c r="E6" s="61" t="s">
        <v>34</v>
      </c>
      <c r="F6" s="226"/>
      <c r="G6" s="62" t="s">
        <v>54</v>
      </c>
      <c r="H6" s="223"/>
      <c r="I6" s="62" t="s">
        <v>39</v>
      </c>
      <c r="J6" s="223"/>
      <c r="K6" s="62" t="s">
        <v>40</v>
      </c>
      <c r="L6" s="57"/>
      <c r="M6" s="62" t="s">
        <v>54</v>
      </c>
      <c r="N6" s="223"/>
      <c r="O6" s="62" t="s">
        <v>39</v>
      </c>
      <c r="P6" s="223"/>
      <c r="Q6" s="62" t="s">
        <v>40</v>
      </c>
    </row>
    <row r="7" spans="1:22" ht="24.6">
      <c r="A7" s="60" t="s">
        <v>230</v>
      </c>
      <c r="B7" s="226"/>
      <c r="C7" s="64" t="s">
        <v>81</v>
      </c>
      <c r="D7" s="226"/>
      <c r="E7" s="108" t="s">
        <v>81</v>
      </c>
      <c r="F7" s="226"/>
      <c r="G7" s="53">
        <v>30257949</v>
      </c>
      <c r="H7" s="53"/>
      <c r="I7" s="53">
        <v>0</v>
      </c>
      <c r="J7" s="53"/>
      <c r="K7" s="53">
        <v>30257949</v>
      </c>
      <c r="L7" s="53"/>
      <c r="M7" s="53">
        <v>146640179</v>
      </c>
      <c r="N7" s="53"/>
      <c r="O7" s="53">
        <v>0</v>
      </c>
      <c r="P7" s="53"/>
      <c r="Q7" s="53">
        <v>146640179</v>
      </c>
    </row>
    <row r="8" spans="1:22" ht="24.6">
      <c r="A8" s="60" t="s">
        <v>458</v>
      </c>
      <c r="B8" s="226"/>
      <c r="C8" s="64"/>
      <c r="D8" s="226"/>
      <c r="E8" s="108"/>
      <c r="F8" s="226"/>
      <c r="G8" s="53">
        <v>11829</v>
      </c>
      <c r="H8" s="53"/>
      <c r="I8" s="53">
        <v>0</v>
      </c>
      <c r="J8" s="53"/>
      <c r="K8" s="53">
        <v>11829</v>
      </c>
      <c r="L8" s="53"/>
      <c r="M8" s="53">
        <v>26985</v>
      </c>
      <c r="N8" s="53"/>
      <c r="O8" s="53">
        <v>0</v>
      </c>
      <c r="P8" s="53"/>
      <c r="Q8" s="53">
        <v>26985</v>
      </c>
    </row>
    <row r="9" spans="1:22" s="4" customFormat="1">
      <c r="A9" s="205" t="s">
        <v>444</v>
      </c>
      <c r="B9" s="63"/>
      <c r="C9" s="64" t="s">
        <v>81</v>
      </c>
      <c r="E9" s="108" t="s">
        <v>81</v>
      </c>
      <c r="G9" s="53">
        <v>2501</v>
      </c>
      <c r="H9" s="53"/>
      <c r="I9" s="53">
        <v>0</v>
      </c>
      <c r="J9" s="53"/>
      <c r="K9" s="53">
        <v>2501</v>
      </c>
      <c r="L9" s="53"/>
      <c r="M9" s="53">
        <v>12891</v>
      </c>
      <c r="N9" s="53"/>
      <c r="O9" s="53">
        <v>0</v>
      </c>
      <c r="P9" s="53"/>
      <c r="Q9" s="53">
        <v>12891</v>
      </c>
      <c r="R9" s="47"/>
      <c r="S9" s="65"/>
      <c r="U9" s="55"/>
      <c r="V9" s="55"/>
    </row>
    <row r="10" spans="1:22" s="4" customFormat="1" ht="25.2" thickBot="1">
      <c r="A10" s="44"/>
      <c r="B10" s="59"/>
      <c r="C10" s="59"/>
      <c r="D10" s="59"/>
      <c r="E10" s="59"/>
      <c r="F10" s="59"/>
      <c r="G10" s="201">
        <f>SUM(G7:G9)</f>
        <v>30272279</v>
      </c>
      <c r="H10" s="66"/>
      <c r="I10" s="201">
        <f>SUM(I9:I9)</f>
        <v>0</v>
      </c>
      <c r="J10" s="66"/>
      <c r="K10" s="201">
        <f>SUM(K7:K9)</f>
        <v>30272279</v>
      </c>
      <c r="L10" s="66"/>
      <c r="M10" s="201">
        <f>SUM(M7:M9)</f>
        <v>146680055</v>
      </c>
      <c r="N10" s="66"/>
      <c r="O10" s="201">
        <f>SUM(O9:O9)</f>
        <v>0</v>
      </c>
      <c r="P10" s="202" t="e">
        <f>SUM(#REF!)</f>
        <v>#REF!</v>
      </c>
      <c r="Q10" s="201">
        <f>SUM(Q7:Q9)</f>
        <v>146680055</v>
      </c>
      <c r="R10" s="47"/>
      <c r="S10" s="65"/>
      <c r="U10" s="55"/>
      <c r="V10" s="55"/>
    </row>
    <row r="11" spans="1:22" s="4" customFormat="1" ht="21.6" thickTop="1">
      <c r="A11" s="5"/>
      <c r="B11" s="5"/>
      <c r="C11" s="5"/>
      <c r="D11" s="5"/>
      <c r="E11" s="5"/>
      <c r="F11" s="5"/>
      <c r="G11" s="67"/>
      <c r="I11" s="67"/>
      <c r="K11" s="67"/>
      <c r="M11" s="67"/>
      <c r="O11" s="67"/>
      <c r="P11" s="67"/>
      <c r="Q11" s="67"/>
      <c r="R11" s="47"/>
      <c r="S11" s="65"/>
      <c r="T11" s="55"/>
      <c r="U11" s="55"/>
      <c r="V11" s="55"/>
    </row>
    <row r="12" spans="1:22" s="4" customFormat="1">
      <c r="A12" s="5"/>
      <c r="B12" s="5"/>
      <c r="C12" s="5"/>
      <c r="D12" s="5"/>
      <c r="E12" s="5"/>
      <c r="F12" s="5"/>
      <c r="G12" s="67"/>
      <c r="I12" s="67"/>
      <c r="K12" s="67"/>
      <c r="M12" s="67"/>
      <c r="O12" s="67"/>
      <c r="P12" s="67"/>
      <c r="Q12" s="67"/>
      <c r="R12" s="47"/>
      <c r="S12" s="65"/>
      <c r="U12" s="55"/>
      <c r="V12" s="55"/>
    </row>
    <row r="13" spans="1:22" s="4" customFormat="1">
      <c r="A13" s="5"/>
      <c r="B13" s="5"/>
      <c r="C13" s="5"/>
      <c r="D13" s="5"/>
      <c r="E13" s="5"/>
      <c r="F13" s="5"/>
      <c r="G13" s="169"/>
      <c r="I13" s="67"/>
      <c r="K13" s="67"/>
      <c r="M13" s="67"/>
      <c r="N13" s="67"/>
      <c r="O13" s="67"/>
      <c r="P13" s="67"/>
      <c r="Q13" s="169"/>
      <c r="R13" s="47"/>
      <c r="S13" s="65"/>
      <c r="U13" s="55"/>
      <c r="V13" s="55"/>
    </row>
    <row r="14" spans="1:22" ht="47.4" customHeight="1">
      <c r="A14" s="68"/>
      <c r="B14" s="68"/>
      <c r="C14" s="68"/>
      <c r="D14" s="68"/>
      <c r="E14" s="68"/>
      <c r="F14" s="68"/>
      <c r="G14" s="53"/>
      <c r="H14" s="68"/>
      <c r="I14" s="68"/>
      <c r="J14" s="68"/>
      <c r="K14" s="46"/>
      <c r="L14" s="68"/>
      <c r="M14" s="53"/>
      <c r="N14" s="68"/>
      <c r="O14" s="68"/>
      <c r="P14" s="68"/>
      <c r="Q14" s="46"/>
      <c r="R14"/>
      <c r="S14" s="49"/>
    </row>
    <row r="15" spans="1:22">
      <c r="A15" s="68"/>
      <c r="B15" s="68"/>
      <c r="C15" s="68"/>
      <c r="D15" s="68"/>
      <c r="E15" s="68"/>
      <c r="F15" s="68"/>
      <c r="G15" s="69"/>
      <c r="H15" s="70"/>
      <c r="I15" s="68"/>
      <c r="J15" s="68"/>
      <c r="K15" s="46"/>
      <c r="L15" s="68"/>
      <c r="M15" s="69"/>
      <c r="N15" s="68"/>
      <c r="O15" s="70"/>
      <c r="P15" s="68"/>
      <c r="Q15" s="46"/>
      <c r="S15" s="48"/>
    </row>
    <row r="16" spans="1:22">
      <c r="G16" s="53"/>
      <c r="H16" s="4"/>
      <c r="J16" s="4"/>
      <c r="K16" s="46"/>
      <c r="M16" s="53"/>
      <c r="Q16" s="46"/>
    </row>
    <row r="17" spans="1:22">
      <c r="G17" s="69"/>
      <c r="J17" s="4"/>
      <c r="K17" s="46"/>
      <c r="M17" s="69"/>
      <c r="Q17" s="46"/>
    </row>
    <row r="18" spans="1:22" s="68" customFormat="1">
      <c r="A18" s="5"/>
      <c r="B18" s="5"/>
      <c r="C18" s="5"/>
      <c r="D18" s="5"/>
      <c r="E18" s="5"/>
      <c r="F18" s="5"/>
      <c r="G18" s="67"/>
      <c r="H18" s="67"/>
      <c r="I18" s="67"/>
      <c r="J18" s="67"/>
      <c r="K18" s="46"/>
      <c r="L18" s="67"/>
      <c r="M18" s="67"/>
      <c r="N18" s="67"/>
      <c r="O18" s="67"/>
      <c r="P18" s="67"/>
      <c r="Q18" s="46"/>
      <c r="U18" s="55"/>
      <c r="V18" s="55"/>
    </row>
    <row r="19" spans="1:22" s="68" customFormat="1">
      <c r="A19" s="5"/>
      <c r="B19" s="5"/>
      <c r="C19" s="5"/>
      <c r="D19" s="5"/>
      <c r="E19" s="5"/>
      <c r="F19" s="5"/>
      <c r="G19" s="67"/>
      <c r="H19" s="67"/>
      <c r="I19" s="67"/>
      <c r="J19" s="67"/>
      <c r="K19" s="46"/>
      <c r="L19" s="67"/>
      <c r="M19" s="67"/>
      <c r="N19" s="67"/>
      <c r="O19" s="67"/>
      <c r="P19" s="67"/>
      <c r="Q19" s="46"/>
      <c r="U19" s="55"/>
      <c r="V19" s="55"/>
    </row>
    <row r="20" spans="1:22">
      <c r="K20" s="46"/>
      <c r="Q20" s="46"/>
    </row>
    <row r="21" spans="1:22">
      <c r="K21" s="46"/>
      <c r="Q21" s="46"/>
    </row>
  </sheetData>
  <autoFilter ref="A6:Q6" xr:uid="{00000000-0009-0000-0000-000005000000}">
    <sortState xmlns:xlrd2="http://schemas.microsoft.com/office/spreadsheetml/2017/richdata2" ref="A7:R16">
      <sortCondition descending="1" ref="Q6"/>
    </sortState>
  </autoFilter>
  <mergeCells count="7">
    <mergeCell ref="A4:G4"/>
    <mergeCell ref="B5:E5"/>
    <mergeCell ref="M5:Q5"/>
    <mergeCell ref="A1:Q1"/>
    <mergeCell ref="A2:Q2"/>
    <mergeCell ref="A3:Q3"/>
    <mergeCell ref="G5:K5"/>
  </mergeCells>
  <printOptions horizontalCentered="1"/>
  <pageMargins left="0.25" right="0.25" top="0.75" bottom="0.75" header="0.3" footer="0.3"/>
  <pageSetup paperSize="9" scale="65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101"/>
  <sheetViews>
    <sheetView rightToLeft="1" view="pageBreakPreview" topLeftCell="B79" zoomScaleNormal="100" zoomScaleSheetLayoutView="100" workbookViewId="0">
      <selection activeCell="J93" sqref="J93"/>
    </sheetView>
  </sheetViews>
  <sheetFormatPr defaultColWidth="9.109375" defaultRowHeight="21"/>
  <cols>
    <col min="1" max="1" width="11.5546875" style="53" hidden="1" customWidth="1"/>
    <col min="2" max="2" width="26.88671875" style="68" bestFit="1" customWidth="1"/>
    <col min="3" max="3" width="0.5546875" style="68" customWidth="1"/>
    <col min="4" max="4" width="16.5546875" style="68" bestFit="1" customWidth="1"/>
    <col min="5" max="5" width="0.88671875" style="68" customWidth="1"/>
    <col min="6" max="6" width="16" style="68" customWidth="1"/>
    <col min="7" max="7" width="1.109375" style="68" customWidth="1"/>
    <col min="8" max="8" width="9.44140625" style="68" bestFit="1" customWidth="1"/>
    <col min="9" max="9" width="0.5546875" style="68" customWidth="1"/>
    <col min="10" max="10" width="13.109375" style="68" customWidth="1"/>
    <col min="11" max="11" width="1" style="68" customWidth="1"/>
    <col min="12" max="12" width="13.5546875" style="68" customWidth="1"/>
    <col min="13" max="13" width="1.109375" style="68" customWidth="1"/>
    <col min="14" max="14" width="12.33203125" style="68" customWidth="1"/>
    <col min="15" max="15" width="1" style="68" customWidth="1"/>
    <col min="16" max="16" width="12.6640625" style="68" customWidth="1"/>
    <col min="17" max="17" width="1.109375" style="68" customWidth="1"/>
    <col min="18" max="18" width="13.6640625" style="68" customWidth="1"/>
    <col min="19" max="19" width="1.109375" style="68" customWidth="1"/>
    <col min="20" max="20" width="14.44140625" style="68" customWidth="1"/>
    <col min="21" max="21" width="2.88671875" style="68" customWidth="1"/>
    <col min="22" max="16384" width="9.109375" style="68"/>
  </cols>
  <sheetData>
    <row r="1" spans="1:20" ht="21.6">
      <c r="B1" s="311" t="s">
        <v>84</v>
      </c>
      <c r="C1" s="311"/>
      <c r="D1" s="311"/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1"/>
    </row>
    <row r="2" spans="1:20" ht="21.6">
      <c r="B2" s="311" t="s">
        <v>53</v>
      </c>
      <c r="C2" s="311"/>
      <c r="D2" s="311"/>
      <c r="E2" s="311"/>
      <c r="F2" s="311"/>
      <c r="G2" s="311"/>
      <c r="H2" s="311"/>
      <c r="I2" s="311"/>
      <c r="J2" s="311"/>
      <c r="K2" s="311"/>
      <c r="L2" s="311"/>
      <c r="M2" s="311"/>
      <c r="N2" s="311"/>
      <c r="O2" s="311"/>
      <c r="P2" s="311"/>
      <c r="Q2" s="311"/>
      <c r="R2" s="311"/>
      <c r="S2" s="311"/>
      <c r="T2" s="311"/>
    </row>
    <row r="3" spans="1:20" ht="21.6">
      <c r="B3" s="311" t="str">
        <f>روکش!A26</f>
        <v>منتهی به 1401/10/30</v>
      </c>
      <c r="C3" s="311"/>
      <c r="D3" s="311"/>
      <c r="E3" s="311"/>
      <c r="F3" s="311"/>
      <c r="G3" s="311"/>
      <c r="H3" s="311"/>
      <c r="I3" s="311"/>
      <c r="J3" s="311"/>
      <c r="K3" s="311"/>
      <c r="L3" s="311"/>
      <c r="M3" s="311"/>
      <c r="N3" s="311"/>
      <c r="O3" s="311"/>
      <c r="P3" s="311"/>
      <c r="Q3" s="311"/>
      <c r="R3" s="311"/>
      <c r="S3" s="311"/>
      <c r="T3" s="311"/>
    </row>
    <row r="4" spans="1:20" ht="21.6">
      <c r="B4" s="312" t="s">
        <v>70</v>
      </c>
      <c r="C4" s="312"/>
      <c r="D4" s="312"/>
      <c r="E4" s="312"/>
      <c r="F4" s="312"/>
      <c r="G4" s="312"/>
      <c r="H4" s="312"/>
      <c r="I4" s="312"/>
      <c r="J4" s="313"/>
      <c r="K4" s="313"/>
      <c r="L4" s="313"/>
      <c r="M4" s="313"/>
      <c r="N4" s="313"/>
      <c r="O4" s="313"/>
      <c r="P4" s="313"/>
      <c r="Q4" s="313"/>
      <c r="R4" s="312"/>
      <c r="S4" s="312"/>
      <c r="T4" s="312"/>
    </row>
    <row r="6" spans="1:20">
      <c r="D6" s="309" t="s">
        <v>71</v>
      </c>
      <c r="E6" s="310"/>
      <c r="F6" s="310"/>
      <c r="G6" s="310"/>
      <c r="H6" s="310"/>
      <c r="J6" s="309" t="s">
        <v>535</v>
      </c>
      <c r="K6" s="310"/>
      <c r="L6" s="310"/>
      <c r="M6" s="310"/>
      <c r="N6" s="310"/>
      <c r="P6" s="309" t="s">
        <v>536</v>
      </c>
      <c r="Q6" s="310"/>
      <c r="R6" s="310"/>
      <c r="S6" s="310"/>
      <c r="T6" s="310"/>
    </row>
    <row r="7" spans="1:20" ht="55.8">
      <c r="B7" s="220" t="s">
        <v>72</v>
      </c>
      <c r="D7" s="119" t="s">
        <v>475</v>
      </c>
      <c r="F7" s="119" t="s">
        <v>476</v>
      </c>
      <c r="H7" s="119" t="s">
        <v>73</v>
      </c>
      <c r="J7" s="119" t="s">
        <v>74</v>
      </c>
      <c r="L7" s="119" t="s">
        <v>75</v>
      </c>
      <c r="N7" s="119" t="s">
        <v>76</v>
      </c>
      <c r="P7" s="119" t="s">
        <v>74</v>
      </c>
      <c r="R7" s="119" t="s">
        <v>75</v>
      </c>
      <c r="T7" s="119" t="s">
        <v>76</v>
      </c>
    </row>
    <row r="8" spans="1:20">
      <c r="A8" s="53" t="s">
        <v>281</v>
      </c>
      <c r="B8" s="85" t="s">
        <v>191</v>
      </c>
      <c r="C8" s="120"/>
      <c r="D8" s="121" t="s">
        <v>233</v>
      </c>
      <c r="E8" s="122">
        <v>6436755</v>
      </c>
      <c r="F8" s="252">
        <v>6436755</v>
      </c>
      <c r="G8" s="122"/>
      <c r="H8" s="123">
        <v>70</v>
      </c>
      <c r="I8" s="122"/>
      <c r="J8" s="46">
        <v>0</v>
      </c>
      <c r="K8" s="46"/>
      <c r="L8" s="46">
        <v>0</v>
      </c>
      <c r="M8" s="46"/>
      <c r="N8" s="46">
        <f>J8+L8</f>
        <v>0</v>
      </c>
      <c r="O8" s="46"/>
      <c r="P8" s="46">
        <v>450572850</v>
      </c>
      <c r="Q8" s="46"/>
      <c r="R8" s="46">
        <v>0</v>
      </c>
      <c r="S8" s="46"/>
      <c r="T8" s="46">
        <f>P8+R8</f>
        <v>450572850</v>
      </c>
    </row>
    <row r="9" spans="1:20">
      <c r="A9" s="53" t="s">
        <v>282</v>
      </c>
      <c r="B9" s="85" t="s">
        <v>109</v>
      </c>
      <c r="C9" s="120"/>
      <c r="D9" s="121" t="s">
        <v>243</v>
      </c>
      <c r="E9" s="122">
        <v>710475</v>
      </c>
      <c r="F9" s="252">
        <v>710475</v>
      </c>
      <c r="G9" s="122"/>
      <c r="H9" s="123">
        <v>50</v>
      </c>
      <c r="I9" s="122"/>
      <c r="J9" s="46">
        <v>0</v>
      </c>
      <c r="K9" s="46"/>
      <c r="L9" s="46">
        <v>0</v>
      </c>
      <c r="M9" s="46"/>
      <c r="N9" s="46">
        <f t="shared" ref="N9:N72" si="0">J9+L9</f>
        <v>0</v>
      </c>
      <c r="O9" s="46"/>
      <c r="P9" s="46">
        <v>35523750</v>
      </c>
      <c r="Q9" s="46"/>
      <c r="R9" s="46">
        <v>-1176283</v>
      </c>
      <c r="S9" s="46"/>
      <c r="T9" s="46">
        <f>P9+R9</f>
        <v>34347467</v>
      </c>
    </row>
    <row r="10" spans="1:20">
      <c r="A10" s="53" t="s">
        <v>283</v>
      </c>
      <c r="B10" s="85" t="s">
        <v>173</v>
      </c>
      <c r="C10" s="120"/>
      <c r="D10" s="121" t="s">
        <v>242</v>
      </c>
      <c r="E10" s="122">
        <v>1940047</v>
      </c>
      <c r="F10" s="252">
        <v>1940047</v>
      </c>
      <c r="G10" s="122"/>
      <c r="H10" s="123">
        <v>100</v>
      </c>
      <c r="I10" s="122"/>
      <c r="J10" s="46">
        <v>0</v>
      </c>
      <c r="K10" s="46"/>
      <c r="L10" s="46">
        <v>0</v>
      </c>
      <c r="M10" s="46"/>
      <c r="N10" s="46">
        <f t="shared" si="0"/>
        <v>0</v>
      </c>
      <c r="O10" s="46"/>
      <c r="P10" s="46">
        <v>194004700</v>
      </c>
      <c r="Q10" s="46"/>
      <c r="R10" s="46">
        <v>-132789</v>
      </c>
      <c r="S10" s="46"/>
      <c r="T10" s="46">
        <f>P10+R10</f>
        <v>193871911</v>
      </c>
    </row>
    <row r="11" spans="1:20">
      <c r="A11" s="53" t="s">
        <v>286</v>
      </c>
      <c r="B11" s="85" t="s">
        <v>212</v>
      </c>
      <c r="C11" s="120"/>
      <c r="D11" s="121" t="s">
        <v>247</v>
      </c>
      <c r="E11" s="122">
        <v>707643</v>
      </c>
      <c r="F11" s="252">
        <v>707643</v>
      </c>
      <c r="G11" s="122"/>
      <c r="H11" s="123">
        <v>22</v>
      </c>
      <c r="I11" s="122"/>
      <c r="J11" s="46">
        <v>0</v>
      </c>
      <c r="K11" s="46"/>
      <c r="L11" s="46">
        <v>0</v>
      </c>
      <c r="M11" s="46"/>
      <c r="N11" s="46">
        <f t="shared" si="0"/>
        <v>0</v>
      </c>
      <c r="O11" s="46"/>
      <c r="P11" s="46">
        <v>15568146</v>
      </c>
      <c r="Q11" s="46"/>
      <c r="R11" s="46">
        <v>0</v>
      </c>
      <c r="S11" s="46"/>
      <c r="T11" s="46">
        <f t="shared" ref="T11:T72" si="1">P11+R11</f>
        <v>15568146</v>
      </c>
    </row>
    <row r="12" spans="1:20">
      <c r="A12" s="53" t="s">
        <v>287</v>
      </c>
      <c r="B12" s="85" t="s">
        <v>99</v>
      </c>
      <c r="C12" s="120"/>
      <c r="D12" s="121" t="s">
        <v>247</v>
      </c>
      <c r="E12" s="122">
        <v>475245</v>
      </c>
      <c r="F12" s="252">
        <v>475245</v>
      </c>
      <c r="G12" s="122"/>
      <c r="H12" s="123">
        <v>1350</v>
      </c>
      <c r="I12" s="122"/>
      <c r="J12" s="46">
        <v>0</v>
      </c>
      <c r="K12" s="46"/>
      <c r="L12" s="46">
        <v>0</v>
      </c>
      <c r="M12" s="46"/>
      <c r="N12" s="46">
        <f t="shared" si="0"/>
        <v>0</v>
      </c>
      <c r="O12" s="46"/>
      <c r="P12" s="46">
        <v>641580750</v>
      </c>
      <c r="Q12" s="46"/>
      <c r="R12" s="46">
        <v>0</v>
      </c>
      <c r="S12" s="46"/>
      <c r="T12" s="46">
        <f t="shared" si="1"/>
        <v>641580750</v>
      </c>
    </row>
    <row r="13" spans="1:20">
      <c r="A13" s="53" t="s">
        <v>288</v>
      </c>
      <c r="B13" s="85" t="s">
        <v>129</v>
      </c>
      <c r="C13" s="120"/>
      <c r="D13" s="121" t="s">
        <v>235</v>
      </c>
      <c r="E13" s="122">
        <v>2429809</v>
      </c>
      <c r="F13" s="252">
        <v>2429809</v>
      </c>
      <c r="G13" s="122"/>
      <c r="H13" s="123">
        <v>34</v>
      </c>
      <c r="I13" s="122"/>
      <c r="J13" s="46">
        <v>0</v>
      </c>
      <c r="K13" s="46"/>
      <c r="L13" s="46">
        <v>0</v>
      </c>
      <c r="M13" s="46"/>
      <c r="N13" s="46">
        <f t="shared" si="0"/>
        <v>0</v>
      </c>
      <c r="O13" s="46"/>
      <c r="P13" s="46">
        <v>82613506</v>
      </c>
      <c r="Q13" s="46"/>
      <c r="R13" s="46">
        <v>0</v>
      </c>
      <c r="S13" s="46"/>
      <c r="T13" s="46">
        <f t="shared" si="1"/>
        <v>82613506</v>
      </c>
    </row>
    <row r="14" spans="1:20">
      <c r="A14" s="53" t="s">
        <v>289</v>
      </c>
      <c r="B14" s="85" t="s">
        <v>213</v>
      </c>
      <c r="C14" s="120"/>
      <c r="D14" s="121" t="s">
        <v>247</v>
      </c>
      <c r="E14" s="122">
        <v>7612002</v>
      </c>
      <c r="F14" s="252">
        <v>7612002</v>
      </c>
      <c r="G14" s="122"/>
      <c r="H14" s="123">
        <v>200</v>
      </c>
      <c r="I14" s="122"/>
      <c r="J14" s="46">
        <v>0</v>
      </c>
      <c r="K14" s="46"/>
      <c r="L14" s="46">
        <v>0</v>
      </c>
      <c r="M14" s="46"/>
      <c r="N14" s="46">
        <f t="shared" si="0"/>
        <v>0</v>
      </c>
      <c r="O14" s="46"/>
      <c r="P14" s="46">
        <v>1522400400</v>
      </c>
      <c r="Q14" s="46"/>
      <c r="R14" s="46">
        <v>0</v>
      </c>
      <c r="S14" s="46"/>
      <c r="T14" s="46">
        <f t="shared" si="1"/>
        <v>1522400400</v>
      </c>
    </row>
    <row r="15" spans="1:20">
      <c r="A15" s="53" t="s">
        <v>290</v>
      </c>
      <c r="B15" s="85" t="s">
        <v>110</v>
      </c>
      <c r="C15" s="120"/>
      <c r="D15" s="121" t="s">
        <v>252</v>
      </c>
      <c r="E15" s="122">
        <v>4644799</v>
      </c>
      <c r="F15" s="252">
        <v>4644799</v>
      </c>
      <c r="G15" s="122"/>
      <c r="H15" s="123">
        <v>29</v>
      </c>
      <c r="I15" s="122"/>
      <c r="J15" s="46">
        <v>0</v>
      </c>
      <c r="K15" s="46"/>
      <c r="L15" s="46">
        <v>0</v>
      </c>
      <c r="M15" s="46"/>
      <c r="N15" s="46">
        <f t="shared" si="0"/>
        <v>0</v>
      </c>
      <c r="O15" s="46"/>
      <c r="P15" s="46">
        <v>134699171</v>
      </c>
      <c r="Q15" s="46"/>
      <c r="R15" s="46">
        <v>0</v>
      </c>
      <c r="S15" s="46"/>
      <c r="T15" s="46">
        <f t="shared" si="1"/>
        <v>134699171</v>
      </c>
    </row>
    <row r="16" spans="1:20">
      <c r="A16" s="53" t="s">
        <v>294</v>
      </c>
      <c r="B16" s="85" t="s">
        <v>222</v>
      </c>
      <c r="C16" s="120"/>
      <c r="D16" s="121" t="s">
        <v>541</v>
      </c>
      <c r="E16" s="122">
        <v>1290936</v>
      </c>
      <c r="F16" s="252">
        <v>1290936</v>
      </c>
      <c r="G16" s="122"/>
      <c r="H16" s="123">
        <v>307</v>
      </c>
      <c r="I16" s="122"/>
      <c r="J16" s="46">
        <v>396317352</v>
      </c>
      <c r="K16" s="46"/>
      <c r="L16" s="46">
        <v>-56550274</v>
      </c>
      <c r="M16" s="46"/>
      <c r="N16" s="46">
        <f t="shared" si="0"/>
        <v>339767078</v>
      </c>
      <c r="O16" s="46"/>
      <c r="P16" s="46">
        <v>396317352</v>
      </c>
      <c r="Q16" s="46"/>
      <c r="R16" s="46">
        <v>-56550274</v>
      </c>
      <c r="S16" s="46"/>
      <c r="T16" s="46">
        <f t="shared" si="1"/>
        <v>339767078</v>
      </c>
    </row>
    <row r="17" spans="1:20">
      <c r="A17" s="53" t="s">
        <v>295</v>
      </c>
      <c r="B17" s="85" t="s">
        <v>149</v>
      </c>
      <c r="C17" s="120"/>
      <c r="D17" s="121" t="s">
        <v>234</v>
      </c>
      <c r="E17" s="122">
        <v>3166253</v>
      </c>
      <c r="F17" s="252">
        <v>3166253</v>
      </c>
      <c r="G17" s="122"/>
      <c r="H17" s="123">
        <v>130</v>
      </c>
      <c r="I17" s="122"/>
      <c r="J17" s="46">
        <v>0</v>
      </c>
      <c r="K17" s="46"/>
      <c r="L17" s="46">
        <v>0</v>
      </c>
      <c r="M17" s="46"/>
      <c r="N17" s="46">
        <f t="shared" si="0"/>
        <v>0</v>
      </c>
      <c r="O17" s="46"/>
      <c r="P17" s="46">
        <v>411612890</v>
      </c>
      <c r="Q17" s="46"/>
      <c r="R17" s="46">
        <v>0</v>
      </c>
      <c r="S17" s="46"/>
      <c r="T17" s="46">
        <f t="shared" si="1"/>
        <v>411612890</v>
      </c>
    </row>
    <row r="18" spans="1:20">
      <c r="A18" s="53" t="s">
        <v>299</v>
      </c>
      <c r="B18" s="85" t="s">
        <v>92</v>
      </c>
      <c r="C18" s="120"/>
      <c r="D18" s="121" t="s">
        <v>241</v>
      </c>
      <c r="E18" s="122">
        <v>3984345</v>
      </c>
      <c r="F18" s="252">
        <v>3984345</v>
      </c>
      <c r="G18" s="122"/>
      <c r="H18" s="123">
        <v>120</v>
      </c>
      <c r="I18" s="122"/>
      <c r="J18" s="46">
        <v>0</v>
      </c>
      <c r="K18" s="46"/>
      <c r="L18" s="46">
        <v>0</v>
      </c>
      <c r="M18" s="46"/>
      <c r="N18" s="46">
        <f t="shared" si="0"/>
        <v>0</v>
      </c>
      <c r="O18" s="46"/>
      <c r="P18" s="46">
        <v>478121400</v>
      </c>
      <c r="Q18" s="46"/>
      <c r="R18" s="46">
        <v>0</v>
      </c>
      <c r="S18" s="46"/>
      <c r="T18" s="46">
        <f t="shared" si="1"/>
        <v>478121400</v>
      </c>
    </row>
    <row r="19" spans="1:20">
      <c r="A19" s="53" t="s">
        <v>303</v>
      </c>
      <c r="B19" s="85" t="s">
        <v>108</v>
      </c>
      <c r="C19" s="120"/>
      <c r="D19" s="121" t="s">
        <v>235</v>
      </c>
      <c r="E19" s="122">
        <v>365663</v>
      </c>
      <c r="F19" s="252">
        <v>365663</v>
      </c>
      <c r="G19" s="122"/>
      <c r="H19" s="123">
        <v>3400</v>
      </c>
      <c r="I19" s="122"/>
      <c r="J19" s="46">
        <v>0</v>
      </c>
      <c r="K19" s="46"/>
      <c r="L19" s="46">
        <v>0</v>
      </c>
      <c r="M19" s="46"/>
      <c r="N19" s="46">
        <f t="shared" si="0"/>
        <v>0</v>
      </c>
      <c r="O19" s="46"/>
      <c r="P19" s="46">
        <v>1243254200</v>
      </c>
      <c r="Q19" s="46"/>
      <c r="R19" s="46">
        <v>-850961</v>
      </c>
      <c r="S19" s="46"/>
      <c r="T19" s="46">
        <f t="shared" si="1"/>
        <v>1242403239</v>
      </c>
    </row>
    <row r="20" spans="1:20">
      <c r="A20" s="53" t="s">
        <v>304</v>
      </c>
      <c r="B20" s="85" t="s">
        <v>88</v>
      </c>
      <c r="C20" s="120"/>
      <c r="D20" s="121" t="s">
        <v>246</v>
      </c>
      <c r="E20" s="122">
        <v>6146333</v>
      </c>
      <c r="F20" s="252">
        <v>6146333</v>
      </c>
      <c r="G20" s="122"/>
      <c r="H20" s="123">
        <v>650</v>
      </c>
      <c r="I20" s="122"/>
      <c r="J20" s="46">
        <v>0</v>
      </c>
      <c r="K20" s="46"/>
      <c r="L20" s="46">
        <v>0</v>
      </c>
      <c r="M20" s="46"/>
      <c r="N20" s="46">
        <f t="shared" si="0"/>
        <v>0</v>
      </c>
      <c r="O20" s="46"/>
      <c r="P20" s="46">
        <v>3995116450</v>
      </c>
      <c r="Q20" s="46"/>
      <c r="R20" s="46">
        <v>0</v>
      </c>
      <c r="S20" s="46"/>
      <c r="T20" s="46">
        <f t="shared" si="1"/>
        <v>3995116450</v>
      </c>
    </row>
    <row r="21" spans="1:20">
      <c r="A21" s="53" t="s">
        <v>305</v>
      </c>
      <c r="B21" s="85" t="s">
        <v>183</v>
      </c>
      <c r="C21" s="120"/>
      <c r="D21" s="121" t="s">
        <v>246</v>
      </c>
      <c r="E21" s="122">
        <v>882636</v>
      </c>
      <c r="F21" s="252">
        <v>882636</v>
      </c>
      <c r="G21" s="122"/>
      <c r="H21" s="123">
        <v>230</v>
      </c>
      <c r="I21" s="122"/>
      <c r="J21" s="46">
        <v>0</v>
      </c>
      <c r="K21" s="46"/>
      <c r="L21" s="46">
        <v>0</v>
      </c>
      <c r="M21" s="46"/>
      <c r="N21" s="46">
        <f t="shared" si="0"/>
        <v>0</v>
      </c>
      <c r="O21" s="46"/>
      <c r="P21" s="46">
        <v>203006280</v>
      </c>
      <c r="Q21" s="46"/>
      <c r="R21" s="46">
        <v>0</v>
      </c>
      <c r="S21" s="46"/>
      <c r="T21" s="46">
        <f t="shared" si="1"/>
        <v>203006280</v>
      </c>
    </row>
    <row r="22" spans="1:20">
      <c r="A22" s="53" t="s">
        <v>306</v>
      </c>
      <c r="B22" s="85" t="s">
        <v>188</v>
      </c>
      <c r="C22" s="120"/>
      <c r="D22" s="121" t="s">
        <v>495</v>
      </c>
      <c r="E22" s="122">
        <v>642599</v>
      </c>
      <c r="F22" s="252">
        <v>642599</v>
      </c>
      <c r="G22" s="122"/>
      <c r="H22" s="123">
        <v>6000</v>
      </c>
      <c r="I22" s="122"/>
      <c r="J22" s="46">
        <v>0</v>
      </c>
      <c r="K22" s="46"/>
      <c r="L22" s="46">
        <v>0</v>
      </c>
      <c r="M22" s="46"/>
      <c r="N22" s="46">
        <f t="shared" si="0"/>
        <v>0</v>
      </c>
      <c r="O22" s="46"/>
      <c r="P22" s="46">
        <v>3855594000</v>
      </c>
      <c r="Q22" s="46"/>
      <c r="R22" s="46">
        <v>0</v>
      </c>
      <c r="S22" s="46"/>
      <c r="T22" s="46">
        <f t="shared" si="1"/>
        <v>3855594000</v>
      </c>
    </row>
    <row r="23" spans="1:20">
      <c r="A23" s="53" t="s">
        <v>307</v>
      </c>
      <c r="B23" s="85" t="s">
        <v>221</v>
      </c>
      <c r="C23" s="120"/>
      <c r="D23" s="121" t="s">
        <v>244</v>
      </c>
      <c r="E23" s="122">
        <v>271970</v>
      </c>
      <c r="F23" s="252">
        <v>271970</v>
      </c>
      <c r="G23" s="122"/>
      <c r="H23" s="123">
        <v>5000</v>
      </c>
      <c r="I23" s="122"/>
      <c r="J23" s="46">
        <v>0</v>
      </c>
      <c r="K23" s="46"/>
      <c r="L23" s="46">
        <v>0</v>
      </c>
      <c r="M23" s="46"/>
      <c r="N23" s="46">
        <f t="shared" si="0"/>
        <v>0</v>
      </c>
      <c r="O23" s="46"/>
      <c r="P23" s="46">
        <v>1359850000</v>
      </c>
      <c r="Q23" s="46"/>
      <c r="R23" s="46">
        <v>0</v>
      </c>
      <c r="S23" s="46"/>
      <c r="T23" s="46">
        <f t="shared" si="1"/>
        <v>1359850000</v>
      </c>
    </row>
    <row r="24" spans="1:20">
      <c r="A24" s="53" t="s">
        <v>308</v>
      </c>
      <c r="B24" s="85" t="s">
        <v>126</v>
      </c>
      <c r="C24" s="120"/>
      <c r="D24" s="121" t="s">
        <v>237</v>
      </c>
      <c r="E24" s="122">
        <v>108155</v>
      </c>
      <c r="F24" s="252">
        <v>108155</v>
      </c>
      <c r="G24" s="122"/>
      <c r="H24" s="123">
        <v>3750</v>
      </c>
      <c r="I24" s="122"/>
      <c r="J24" s="46">
        <v>0</v>
      </c>
      <c r="K24" s="46"/>
      <c r="L24" s="46">
        <v>0</v>
      </c>
      <c r="M24" s="46"/>
      <c r="N24" s="46">
        <f t="shared" si="0"/>
        <v>0</v>
      </c>
      <c r="O24" s="46"/>
      <c r="P24" s="46">
        <v>405581250</v>
      </c>
      <c r="Q24" s="46"/>
      <c r="R24" s="46">
        <v>0</v>
      </c>
      <c r="S24" s="46"/>
      <c r="T24" s="46">
        <f t="shared" si="1"/>
        <v>405581250</v>
      </c>
    </row>
    <row r="25" spans="1:20">
      <c r="A25" s="53" t="s">
        <v>314</v>
      </c>
      <c r="B25" s="85" t="s">
        <v>186</v>
      </c>
      <c r="C25" s="120"/>
      <c r="D25" s="121" t="s">
        <v>245</v>
      </c>
      <c r="E25" s="122">
        <v>1119769</v>
      </c>
      <c r="F25" s="252">
        <v>1119769</v>
      </c>
      <c r="G25" s="122"/>
      <c r="H25" s="123">
        <v>1000</v>
      </c>
      <c r="I25" s="122"/>
      <c r="J25" s="46">
        <v>0</v>
      </c>
      <c r="K25" s="46"/>
      <c r="L25" s="46">
        <v>0</v>
      </c>
      <c r="M25" s="46"/>
      <c r="N25" s="46">
        <f t="shared" si="0"/>
        <v>0</v>
      </c>
      <c r="O25" s="46"/>
      <c r="P25" s="46">
        <v>1119769000</v>
      </c>
      <c r="Q25" s="46"/>
      <c r="R25" s="46">
        <v>0</v>
      </c>
      <c r="S25" s="46"/>
      <c r="T25" s="46">
        <f t="shared" si="1"/>
        <v>1119769000</v>
      </c>
    </row>
    <row r="26" spans="1:20">
      <c r="A26" s="53" t="s">
        <v>315</v>
      </c>
      <c r="B26" s="85" t="s">
        <v>210</v>
      </c>
      <c r="C26" s="120"/>
      <c r="D26" s="121" t="s">
        <v>463</v>
      </c>
      <c r="E26" s="122">
        <v>240173</v>
      </c>
      <c r="F26" s="252">
        <v>240173</v>
      </c>
      <c r="G26" s="122"/>
      <c r="H26" s="123">
        <v>800</v>
      </c>
      <c r="I26" s="122"/>
      <c r="J26" s="46">
        <v>0</v>
      </c>
      <c r="K26" s="46"/>
      <c r="L26" s="46">
        <v>0</v>
      </c>
      <c r="M26" s="46"/>
      <c r="N26" s="46">
        <f t="shared" si="0"/>
        <v>0</v>
      </c>
      <c r="O26" s="46"/>
      <c r="P26" s="46">
        <v>192138400</v>
      </c>
      <c r="Q26" s="46"/>
      <c r="R26" s="46">
        <v>-14480348</v>
      </c>
      <c r="S26" s="46"/>
      <c r="T26" s="46">
        <f t="shared" si="1"/>
        <v>177658052</v>
      </c>
    </row>
    <row r="27" spans="1:20">
      <c r="A27" s="53" t="s">
        <v>317</v>
      </c>
      <c r="B27" s="85" t="s">
        <v>146</v>
      </c>
      <c r="C27" s="120"/>
      <c r="D27" s="121" t="s">
        <v>246</v>
      </c>
      <c r="E27" s="122">
        <v>2787425</v>
      </c>
      <c r="F27" s="252">
        <v>2787425</v>
      </c>
      <c r="G27" s="122"/>
      <c r="H27" s="140">
        <v>35</v>
      </c>
      <c r="I27" s="122"/>
      <c r="J27" s="139">
        <v>0</v>
      </c>
      <c r="K27" s="139"/>
      <c r="L27" s="46">
        <v>0</v>
      </c>
      <c r="M27" s="139"/>
      <c r="N27" s="46">
        <f t="shared" si="0"/>
        <v>0</v>
      </c>
      <c r="O27" s="139"/>
      <c r="P27" s="139">
        <v>97559875</v>
      </c>
      <c r="Q27" s="139"/>
      <c r="R27" s="139">
        <v>0</v>
      </c>
      <c r="S27" s="139"/>
      <c r="T27" s="46">
        <f t="shared" si="1"/>
        <v>97559875</v>
      </c>
    </row>
    <row r="28" spans="1:20">
      <c r="A28" s="53" t="s">
        <v>318</v>
      </c>
      <c r="B28" s="85" t="s">
        <v>155</v>
      </c>
      <c r="C28" s="120"/>
      <c r="D28" s="121" t="s">
        <v>240</v>
      </c>
      <c r="E28" s="122">
        <v>2714040</v>
      </c>
      <c r="F28" s="252">
        <v>2714040</v>
      </c>
      <c r="G28" s="122"/>
      <c r="H28" s="123">
        <v>500</v>
      </c>
      <c r="I28" s="122"/>
      <c r="J28" s="46">
        <v>0</v>
      </c>
      <c r="K28" s="46"/>
      <c r="L28" s="46">
        <v>0</v>
      </c>
      <c r="M28" s="46"/>
      <c r="N28" s="46">
        <f t="shared" si="0"/>
        <v>0</v>
      </c>
      <c r="O28" s="46"/>
      <c r="P28" s="46">
        <v>1357020000</v>
      </c>
      <c r="Q28" s="46"/>
      <c r="R28" s="46">
        <v>0</v>
      </c>
      <c r="S28" s="46"/>
      <c r="T28" s="46">
        <f t="shared" si="1"/>
        <v>1357020000</v>
      </c>
    </row>
    <row r="29" spans="1:20">
      <c r="A29" s="53" t="s">
        <v>322</v>
      </c>
      <c r="B29" s="85" t="s">
        <v>93</v>
      </c>
      <c r="C29" s="120"/>
      <c r="D29" s="121" t="s">
        <v>241</v>
      </c>
      <c r="E29" s="122">
        <v>727710</v>
      </c>
      <c r="F29" s="252">
        <v>727710</v>
      </c>
      <c r="G29" s="122"/>
      <c r="H29" s="123">
        <v>700</v>
      </c>
      <c r="I29" s="122"/>
      <c r="J29" s="46">
        <v>0</v>
      </c>
      <c r="K29" s="46"/>
      <c r="L29" s="46">
        <v>0</v>
      </c>
      <c r="M29" s="46"/>
      <c r="N29" s="46">
        <f t="shared" si="0"/>
        <v>0</v>
      </c>
      <c r="O29" s="46"/>
      <c r="P29" s="46">
        <v>509397000</v>
      </c>
      <c r="Q29" s="46"/>
      <c r="R29" s="46">
        <v>0</v>
      </c>
      <c r="S29" s="46"/>
      <c r="T29" s="46">
        <f t="shared" si="1"/>
        <v>509397000</v>
      </c>
    </row>
    <row r="30" spans="1:20">
      <c r="A30" s="53" t="s">
        <v>323</v>
      </c>
      <c r="B30" s="85" t="s">
        <v>130</v>
      </c>
      <c r="C30" s="120"/>
      <c r="D30" s="121" t="s">
        <v>238</v>
      </c>
      <c r="E30" s="122">
        <v>301384</v>
      </c>
      <c r="F30" s="252">
        <v>301384</v>
      </c>
      <c r="G30" s="122"/>
      <c r="H30" s="123">
        <v>1590</v>
      </c>
      <c r="I30" s="122"/>
      <c r="J30" s="46">
        <v>0</v>
      </c>
      <c r="K30" s="46"/>
      <c r="L30" s="46">
        <v>0</v>
      </c>
      <c r="M30" s="46"/>
      <c r="N30" s="46">
        <f t="shared" si="0"/>
        <v>0</v>
      </c>
      <c r="O30" s="46"/>
      <c r="P30" s="46">
        <v>479200560</v>
      </c>
      <c r="Q30" s="46"/>
      <c r="R30" s="46">
        <v>0</v>
      </c>
      <c r="S30" s="46"/>
      <c r="T30" s="46">
        <f t="shared" si="1"/>
        <v>479200560</v>
      </c>
    </row>
    <row r="31" spans="1:20">
      <c r="A31" s="53" t="s">
        <v>331</v>
      </c>
      <c r="B31" s="85" t="s">
        <v>103</v>
      </c>
      <c r="C31" s="120"/>
      <c r="D31" s="121" t="s">
        <v>253</v>
      </c>
      <c r="E31" s="122">
        <v>6014827</v>
      </c>
      <c r="F31" s="252">
        <v>6014827</v>
      </c>
      <c r="G31" s="122"/>
      <c r="H31" s="123">
        <v>190</v>
      </c>
      <c r="I31" s="122"/>
      <c r="J31" s="46">
        <v>0</v>
      </c>
      <c r="K31" s="46"/>
      <c r="L31" s="46">
        <v>0</v>
      </c>
      <c r="M31" s="46"/>
      <c r="N31" s="46">
        <f t="shared" si="0"/>
        <v>0</v>
      </c>
      <c r="O31" s="46"/>
      <c r="P31" s="46">
        <v>1142817130</v>
      </c>
      <c r="Q31" s="46"/>
      <c r="R31" s="46">
        <v>0</v>
      </c>
      <c r="S31" s="46"/>
      <c r="T31" s="46">
        <f t="shared" si="1"/>
        <v>1142817130</v>
      </c>
    </row>
    <row r="32" spans="1:20">
      <c r="A32" s="53" t="s">
        <v>332</v>
      </c>
      <c r="B32" s="85" t="s">
        <v>166</v>
      </c>
      <c r="C32" s="120"/>
      <c r="D32" s="121" t="s">
        <v>243</v>
      </c>
      <c r="E32" s="122">
        <v>216299</v>
      </c>
      <c r="F32" s="252">
        <v>216299</v>
      </c>
      <c r="G32" s="122"/>
      <c r="H32" s="123">
        <v>4720</v>
      </c>
      <c r="I32" s="122"/>
      <c r="J32" s="46">
        <v>0</v>
      </c>
      <c r="K32" s="46"/>
      <c r="L32" s="46">
        <v>0</v>
      </c>
      <c r="M32" s="46"/>
      <c r="N32" s="46">
        <f t="shared" si="0"/>
        <v>0</v>
      </c>
      <c r="O32" s="46"/>
      <c r="P32" s="46">
        <v>1020931280</v>
      </c>
      <c r="Q32" s="46"/>
      <c r="R32" s="46">
        <v>0</v>
      </c>
      <c r="S32" s="46"/>
      <c r="T32" s="46">
        <f t="shared" si="1"/>
        <v>1020931280</v>
      </c>
    </row>
    <row r="33" spans="1:20">
      <c r="A33" s="53" t="s">
        <v>334</v>
      </c>
      <c r="B33" s="85" t="s">
        <v>135</v>
      </c>
      <c r="C33" s="120"/>
      <c r="D33" s="121" t="s">
        <v>250</v>
      </c>
      <c r="E33" s="122">
        <v>569239</v>
      </c>
      <c r="F33" s="252">
        <v>569239</v>
      </c>
      <c r="G33" s="122"/>
      <c r="H33" s="123">
        <v>18</v>
      </c>
      <c r="I33" s="122"/>
      <c r="J33" s="46">
        <v>0</v>
      </c>
      <c r="K33" s="46"/>
      <c r="L33" s="46">
        <v>0</v>
      </c>
      <c r="M33" s="46"/>
      <c r="N33" s="46">
        <f t="shared" si="0"/>
        <v>0</v>
      </c>
      <c r="O33" s="46"/>
      <c r="P33" s="46">
        <v>10246302</v>
      </c>
      <c r="Q33" s="46"/>
      <c r="R33" s="46">
        <v>-172497</v>
      </c>
      <c r="S33" s="46"/>
      <c r="T33" s="46">
        <f t="shared" si="1"/>
        <v>10073805</v>
      </c>
    </row>
    <row r="34" spans="1:20">
      <c r="A34" s="53" t="s">
        <v>335</v>
      </c>
      <c r="B34" s="85" t="s">
        <v>267</v>
      </c>
      <c r="C34" s="120"/>
      <c r="D34" s="121" t="s">
        <v>464</v>
      </c>
      <c r="E34" s="122">
        <v>104826</v>
      </c>
      <c r="F34" s="252">
        <v>104826</v>
      </c>
      <c r="G34" s="122"/>
      <c r="H34" s="123">
        <v>850</v>
      </c>
      <c r="I34" s="122"/>
      <c r="J34" s="46">
        <v>0</v>
      </c>
      <c r="K34" s="46"/>
      <c r="L34" s="46">
        <v>0</v>
      </c>
      <c r="M34" s="46"/>
      <c r="N34" s="46">
        <f t="shared" si="0"/>
        <v>0</v>
      </c>
      <c r="O34" s="46"/>
      <c r="P34" s="46">
        <v>89102100</v>
      </c>
      <c r="Q34" s="46"/>
      <c r="R34" s="46">
        <v>0</v>
      </c>
      <c r="S34" s="46"/>
      <c r="T34" s="46">
        <f t="shared" si="1"/>
        <v>89102100</v>
      </c>
    </row>
    <row r="35" spans="1:20">
      <c r="A35" s="53" t="s">
        <v>337</v>
      </c>
      <c r="B35" s="85" t="s">
        <v>180</v>
      </c>
      <c r="C35" s="120"/>
      <c r="D35" s="121" t="s">
        <v>244</v>
      </c>
      <c r="E35" s="122">
        <v>221685</v>
      </c>
      <c r="F35" s="252">
        <v>221685</v>
      </c>
      <c r="G35" s="122"/>
      <c r="H35" s="123">
        <v>270</v>
      </c>
      <c r="I35" s="122"/>
      <c r="J35" s="46">
        <v>0</v>
      </c>
      <c r="K35" s="46"/>
      <c r="L35" s="46">
        <v>0</v>
      </c>
      <c r="M35" s="46"/>
      <c r="N35" s="46">
        <f t="shared" si="0"/>
        <v>0</v>
      </c>
      <c r="O35" s="46"/>
      <c r="P35" s="46">
        <v>59854950</v>
      </c>
      <c r="Q35" s="46"/>
      <c r="R35" s="46">
        <v>0</v>
      </c>
      <c r="S35" s="46"/>
      <c r="T35" s="46">
        <f t="shared" si="1"/>
        <v>59854950</v>
      </c>
    </row>
    <row r="36" spans="1:20">
      <c r="A36" s="53" t="s">
        <v>339</v>
      </c>
      <c r="B36" s="85" t="s">
        <v>90</v>
      </c>
      <c r="C36" s="120"/>
      <c r="D36" s="121" t="s">
        <v>239</v>
      </c>
      <c r="E36" s="122">
        <v>4147582</v>
      </c>
      <c r="F36" s="252">
        <v>4147582</v>
      </c>
      <c r="G36" s="122"/>
      <c r="H36" s="123">
        <v>100</v>
      </c>
      <c r="I36" s="122"/>
      <c r="J36" s="46">
        <v>0</v>
      </c>
      <c r="K36" s="46"/>
      <c r="L36" s="46">
        <v>0</v>
      </c>
      <c r="M36" s="46"/>
      <c r="N36" s="46">
        <f t="shared" si="0"/>
        <v>0</v>
      </c>
      <c r="O36" s="46"/>
      <c r="P36" s="46">
        <v>414758200</v>
      </c>
      <c r="Q36" s="46"/>
      <c r="R36" s="46">
        <v>0</v>
      </c>
      <c r="S36" s="46"/>
      <c r="T36" s="46">
        <f t="shared" si="1"/>
        <v>414758200</v>
      </c>
    </row>
    <row r="37" spans="1:20">
      <c r="A37" s="53" t="s">
        <v>341</v>
      </c>
      <c r="B37" s="85" t="s">
        <v>143</v>
      </c>
      <c r="C37" s="120"/>
      <c r="D37" s="121" t="s">
        <v>235</v>
      </c>
      <c r="E37" s="122">
        <v>4047359</v>
      </c>
      <c r="F37" s="252">
        <v>4047359</v>
      </c>
      <c r="G37" s="122"/>
      <c r="H37" s="123">
        <v>12</v>
      </c>
      <c r="I37" s="122"/>
      <c r="J37" s="46">
        <v>0</v>
      </c>
      <c r="K37" s="46"/>
      <c r="L37" s="46">
        <v>0</v>
      </c>
      <c r="M37" s="46"/>
      <c r="N37" s="46">
        <f t="shared" si="0"/>
        <v>0</v>
      </c>
      <c r="O37" s="46"/>
      <c r="P37" s="46">
        <v>48568308</v>
      </c>
      <c r="Q37" s="46"/>
      <c r="R37" s="46">
        <v>-33243</v>
      </c>
      <c r="S37" s="46"/>
      <c r="T37" s="46">
        <f t="shared" si="1"/>
        <v>48535065</v>
      </c>
    </row>
    <row r="38" spans="1:20">
      <c r="A38" s="53" t="s">
        <v>344</v>
      </c>
      <c r="B38" s="85" t="s">
        <v>207</v>
      </c>
      <c r="C38" s="120"/>
      <c r="D38" s="121" t="s">
        <v>247</v>
      </c>
      <c r="E38" s="122">
        <v>2219908</v>
      </c>
      <c r="F38" s="252">
        <v>2219908</v>
      </c>
      <c r="G38" s="122"/>
      <c r="H38" s="123">
        <v>150</v>
      </c>
      <c r="I38" s="122"/>
      <c r="J38" s="46">
        <v>0</v>
      </c>
      <c r="K38" s="46"/>
      <c r="L38" s="46">
        <v>0</v>
      </c>
      <c r="M38" s="46"/>
      <c r="N38" s="46">
        <f t="shared" si="0"/>
        <v>0</v>
      </c>
      <c r="O38" s="46"/>
      <c r="P38" s="46">
        <v>332986200</v>
      </c>
      <c r="Q38" s="46"/>
      <c r="R38" s="46">
        <v>-9956398</v>
      </c>
      <c r="S38" s="46"/>
      <c r="T38" s="46">
        <f t="shared" si="1"/>
        <v>323029802</v>
      </c>
    </row>
    <row r="39" spans="1:20">
      <c r="A39" s="53" t="s">
        <v>345</v>
      </c>
      <c r="B39" s="85" t="s">
        <v>184</v>
      </c>
      <c r="C39" s="120"/>
      <c r="D39" s="121" t="s">
        <v>530</v>
      </c>
      <c r="E39" s="122">
        <v>1415917</v>
      </c>
      <c r="F39" s="252">
        <v>1415917</v>
      </c>
      <c r="G39" s="122"/>
      <c r="H39" s="123">
        <v>650</v>
      </c>
      <c r="I39" s="122"/>
      <c r="J39" s="46">
        <v>0</v>
      </c>
      <c r="K39" s="46"/>
      <c r="L39" s="46">
        <v>0</v>
      </c>
      <c r="M39" s="46"/>
      <c r="N39" s="46">
        <f t="shared" si="0"/>
        <v>0</v>
      </c>
      <c r="O39" s="46"/>
      <c r="P39" s="46">
        <v>920346050</v>
      </c>
      <c r="Q39" s="46"/>
      <c r="R39" s="46">
        <v>0</v>
      </c>
      <c r="S39" s="46"/>
      <c r="T39" s="46">
        <f t="shared" si="1"/>
        <v>920346050</v>
      </c>
    </row>
    <row r="40" spans="1:20">
      <c r="A40" s="53" t="s">
        <v>346</v>
      </c>
      <c r="B40" s="85" t="s">
        <v>158</v>
      </c>
      <c r="C40" s="120"/>
      <c r="D40" s="121" t="s">
        <v>447</v>
      </c>
      <c r="E40" s="122">
        <v>1126816</v>
      </c>
      <c r="F40" s="252">
        <v>1126816</v>
      </c>
      <c r="G40" s="122"/>
      <c r="H40" s="123">
        <v>2750</v>
      </c>
      <c r="I40" s="122"/>
      <c r="J40" s="46">
        <v>0</v>
      </c>
      <c r="K40" s="46"/>
      <c r="L40" s="46">
        <v>0</v>
      </c>
      <c r="M40" s="46"/>
      <c r="N40" s="46">
        <f t="shared" si="0"/>
        <v>0</v>
      </c>
      <c r="O40" s="46"/>
      <c r="P40" s="46">
        <v>3098744000</v>
      </c>
      <c r="Q40" s="46"/>
      <c r="R40" s="46">
        <v>0</v>
      </c>
      <c r="S40" s="46"/>
      <c r="T40" s="46">
        <f t="shared" si="1"/>
        <v>3098744000</v>
      </c>
    </row>
    <row r="41" spans="1:20">
      <c r="A41" s="53" t="s">
        <v>348</v>
      </c>
      <c r="B41" s="85" t="s">
        <v>160</v>
      </c>
      <c r="C41" s="120"/>
      <c r="D41" s="121" t="s">
        <v>240</v>
      </c>
      <c r="E41" s="122">
        <v>3293765</v>
      </c>
      <c r="F41" s="252">
        <v>3293765</v>
      </c>
      <c r="G41" s="122"/>
      <c r="H41" s="140">
        <v>200</v>
      </c>
      <c r="I41" s="122"/>
      <c r="J41" s="139">
        <v>0</v>
      </c>
      <c r="K41" s="139"/>
      <c r="L41" s="46">
        <v>0</v>
      </c>
      <c r="M41" s="139"/>
      <c r="N41" s="46">
        <f t="shared" si="0"/>
        <v>0</v>
      </c>
      <c r="O41" s="139"/>
      <c r="P41" s="139">
        <v>658753000</v>
      </c>
      <c r="Q41" s="139"/>
      <c r="R41" s="139">
        <v>0</v>
      </c>
      <c r="S41" s="139"/>
      <c r="T41" s="46">
        <f t="shared" si="1"/>
        <v>658753000</v>
      </c>
    </row>
    <row r="42" spans="1:20">
      <c r="A42" s="53" t="s">
        <v>349</v>
      </c>
      <c r="B42" s="85" t="s">
        <v>123</v>
      </c>
      <c r="C42" s="120"/>
      <c r="D42" s="121" t="s">
        <v>465</v>
      </c>
      <c r="E42" s="122">
        <v>1677595</v>
      </c>
      <c r="F42" s="252">
        <v>1677595</v>
      </c>
      <c r="G42" s="122"/>
      <c r="H42" s="123">
        <v>30</v>
      </c>
      <c r="I42" s="122"/>
      <c r="J42" s="46">
        <v>0</v>
      </c>
      <c r="K42" s="46"/>
      <c r="L42" s="46">
        <v>0</v>
      </c>
      <c r="M42" s="46"/>
      <c r="N42" s="46">
        <f t="shared" si="0"/>
        <v>0</v>
      </c>
      <c r="O42" s="46"/>
      <c r="P42" s="46">
        <v>50327850</v>
      </c>
      <c r="Q42" s="46"/>
      <c r="R42" s="46">
        <v>0</v>
      </c>
      <c r="S42" s="46"/>
      <c r="T42" s="46">
        <f t="shared" si="1"/>
        <v>50327850</v>
      </c>
    </row>
    <row r="43" spans="1:20">
      <c r="A43" s="53" t="s">
        <v>353</v>
      </c>
      <c r="B43" s="85" t="s">
        <v>125</v>
      </c>
      <c r="C43" s="120"/>
      <c r="D43" s="121" t="s">
        <v>255</v>
      </c>
      <c r="E43" s="122">
        <v>1318171</v>
      </c>
      <c r="F43" s="252">
        <v>1318171</v>
      </c>
      <c r="G43" s="122"/>
      <c r="H43" s="123">
        <v>1300</v>
      </c>
      <c r="I43" s="122"/>
      <c r="J43" s="46">
        <v>0</v>
      </c>
      <c r="K43" s="46"/>
      <c r="L43" s="46">
        <v>0</v>
      </c>
      <c r="M43" s="46"/>
      <c r="N43" s="46">
        <f t="shared" si="0"/>
        <v>0</v>
      </c>
      <c r="O43" s="46"/>
      <c r="P43" s="46">
        <v>1713622300</v>
      </c>
      <c r="Q43" s="46"/>
      <c r="R43" s="46">
        <v>0</v>
      </c>
      <c r="S43" s="46"/>
      <c r="T43" s="46">
        <f t="shared" si="1"/>
        <v>1713622300</v>
      </c>
    </row>
    <row r="44" spans="1:20">
      <c r="A44" s="53" t="s">
        <v>358</v>
      </c>
      <c r="B44" s="85" t="s">
        <v>157</v>
      </c>
      <c r="C44" s="120"/>
      <c r="D44" s="121" t="s">
        <v>246</v>
      </c>
      <c r="E44" s="122">
        <v>2009331</v>
      </c>
      <c r="F44" s="252">
        <v>2009331</v>
      </c>
      <c r="G44" s="122"/>
      <c r="H44" s="123">
        <v>2400</v>
      </c>
      <c r="I44" s="122"/>
      <c r="J44" s="46">
        <v>0</v>
      </c>
      <c r="K44" s="46"/>
      <c r="L44" s="46">
        <v>0</v>
      </c>
      <c r="M44" s="46"/>
      <c r="N44" s="46">
        <f t="shared" si="0"/>
        <v>0</v>
      </c>
      <c r="O44" s="46"/>
      <c r="P44" s="46">
        <v>4822394400</v>
      </c>
      <c r="Q44" s="46"/>
      <c r="R44" s="46">
        <v>0</v>
      </c>
      <c r="S44" s="46"/>
      <c r="T44" s="46">
        <f t="shared" si="1"/>
        <v>4822394400</v>
      </c>
    </row>
    <row r="45" spans="1:20">
      <c r="A45" s="53" t="s">
        <v>367</v>
      </c>
      <c r="B45" s="85" t="s">
        <v>121</v>
      </c>
      <c r="C45" s="120"/>
      <c r="D45" s="121" t="s">
        <v>255</v>
      </c>
      <c r="E45" s="122">
        <v>1045247</v>
      </c>
      <c r="F45" s="252">
        <v>1045247</v>
      </c>
      <c r="G45" s="122"/>
      <c r="H45" s="123">
        <v>2150</v>
      </c>
      <c r="I45" s="122"/>
      <c r="J45" s="46">
        <v>0</v>
      </c>
      <c r="K45" s="46"/>
      <c r="L45" s="46">
        <v>0</v>
      </c>
      <c r="M45" s="46"/>
      <c r="N45" s="46">
        <f t="shared" si="0"/>
        <v>0</v>
      </c>
      <c r="O45" s="46"/>
      <c r="P45" s="46">
        <v>2247281050</v>
      </c>
      <c r="Q45" s="46"/>
      <c r="R45" s="46">
        <v>0</v>
      </c>
      <c r="S45" s="46"/>
      <c r="T45" s="46">
        <f t="shared" si="1"/>
        <v>2247281050</v>
      </c>
    </row>
    <row r="46" spans="1:20">
      <c r="A46" s="53" t="s">
        <v>369</v>
      </c>
      <c r="B46" s="85" t="s">
        <v>141</v>
      </c>
      <c r="C46" s="120"/>
      <c r="D46" s="121" t="s">
        <v>241</v>
      </c>
      <c r="E46" s="122">
        <v>357051</v>
      </c>
      <c r="F46" s="252">
        <v>357051</v>
      </c>
      <c r="G46" s="122"/>
      <c r="H46" s="123">
        <v>2570</v>
      </c>
      <c r="I46" s="122"/>
      <c r="J46" s="46">
        <v>0</v>
      </c>
      <c r="K46" s="46"/>
      <c r="L46" s="46">
        <v>0</v>
      </c>
      <c r="M46" s="46"/>
      <c r="N46" s="46">
        <f t="shared" si="0"/>
        <v>0</v>
      </c>
      <c r="O46" s="46"/>
      <c r="P46" s="46">
        <v>917621070</v>
      </c>
      <c r="Q46" s="46"/>
      <c r="R46" s="46">
        <v>-19078641</v>
      </c>
      <c r="S46" s="46"/>
      <c r="T46" s="46">
        <f t="shared" si="1"/>
        <v>898542429</v>
      </c>
    </row>
    <row r="47" spans="1:20">
      <c r="A47" s="53" t="s">
        <v>371</v>
      </c>
      <c r="B47" s="85" t="s">
        <v>489</v>
      </c>
      <c r="C47" s="120"/>
      <c r="D47" s="121" t="s">
        <v>542</v>
      </c>
      <c r="E47" s="122">
        <v>623239</v>
      </c>
      <c r="F47" s="252">
        <v>623239</v>
      </c>
      <c r="G47" s="122"/>
      <c r="H47" s="123">
        <v>850</v>
      </c>
      <c r="I47" s="122"/>
      <c r="J47" s="46">
        <v>529753150</v>
      </c>
      <c r="K47" s="46"/>
      <c r="L47" s="46">
        <v>-67169658</v>
      </c>
      <c r="M47" s="46"/>
      <c r="N47" s="46">
        <f t="shared" si="0"/>
        <v>462583492</v>
      </c>
      <c r="O47" s="46"/>
      <c r="P47" s="46">
        <v>529753150</v>
      </c>
      <c r="Q47" s="46"/>
      <c r="R47" s="46">
        <v>-67169658</v>
      </c>
      <c r="S47" s="46"/>
      <c r="T47" s="46">
        <f t="shared" si="1"/>
        <v>462583492</v>
      </c>
    </row>
    <row r="48" spans="1:20">
      <c r="A48" s="53" t="s">
        <v>372</v>
      </c>
      <c r="B48" s="85" t="s">
        <v>218</v>
      </c>
      <c r="C48" s="120"/>
      <c r="D48" s="121" t="s">
        <v>240</v>
      </c>
      <c r="E48" s="122">
        <v>870763</v>
      </c>
      <c r="F48" s="252">
        <v>870763</v>
      </c>
      <c r="G48" s="122"/>
      <c r="H48" s="123">
        <v>300</v>
      </c>
      <c r="I48" s="122"/>
      <c r="J48" s="46">
        <v>0</v>
      </c>
      <c r="K48" s="46"/>
      <c r="L48" s="46">
        <v>0</v>
      </c>
      <c r="M48" s="46"/>
      <c r="N48" s="46">
        <f t="shared" si="0"/>
        <v>0</v>
      </c>
      <c r="O48" s="46"/>
      <c r="P48" s="46">
        <v>261228900</v>
      </c>
      <c r="Q48" s="46"/>
      <c r="R48" s="46">
        <v>0</v>
      </c>
      <c r="S48" s="46"/>
      <c r="T48" s="46">
        <f t="shared" si="1"/>
        <v>261228900</v>
      </c>
    </row>
    <row r="49" spans="1:20">
      <c r="A49" s="53" t="s">
        <v>374</v>
      </c>
      <c r="B49" s="85" t="s">
        <v>220</v>
      </c>
      <c r="C49" s="120"/>
      <c r="D49" s="121" t="s">
        <v>460</v>
      </c>
      <c r="E49" s="122">
        <v>922577</v>
      </c>
      <c r="F49" s="252">
        <v>922577</v>
      </c>
      <c r="G49" s="122"/>
      <c r="H49" s="123">
        <v>250</v>
      </c>
      <c r="I49" s="122"/>
      <c r="J49" s="46">
        <v>0</v>
      </c>
      <c r="K49" s="46"/>
      <c r="L49" s="46">
        <v>0</v>
      </c>
      <c r="M49" s="46"/>
      <c r="N49" s="46">
        <f t="shared" si="0"/>
        <v>0</v>
      </c>
      <c r="O49" s="46"/>
      <c r="P49" s="46">
        <v>230644250</v>
      </c>
      <c r="Q49" s="46"/>
      <c r="R49" s="46">
        <v>-9104378</v>
      </c>
      <c r="S49" s="46"/>
      <c r="T49" s="46">
        <f t="shared" si="1"/>
        <v>221539872</v>
      </c>
    </row>
    <row r="50" spans="1:20">
      <c r="A50" s="53" t="s">
        <v>375</v>
      </c>
      <c r="B50" s="85" t="s">
        <v>164</v>
      </c>
      <c r="C50" s="120"/>
      <c r="D50" s="121" t="s">
        <v>236</v>
      </c>
      <c r="E50" s="122">
        <v>139761</v>
      </c>
      <c r="F50" s="252">
        <v>139761</v>
      </c>
      <c r="G50" s="122"/>
      <c r="H50" s="123">
        <v>5700</v>
      </c>
      <c r="I50" s="122"/>
      <c r="J50" s="46">
        <v>0</v>
      </c>
      <c r="K50" s="46"/>
      <c r="L50" s="46">
        <v>0</v>
      </c>
      <c r="M50" s="46"/>
      <c r="N50" s="46">
        <f t="shared" si="0"/>
        <v>0</v>
      </c>
      <c r="O50" s="46"/>
      <c r="P50" s="46">
        <v>796637700</v>
      </c>
      <c r="Q50" s="46"/>
      <c r="R50" s="46">
        <v>0</v>
      </c>
      <c r="S50" s="46"/>
      <c r="T50" s="46">
        <f t="shared" si="1"/>
        <v>796637700</v>
      </c>
    </row>
    <row r="51" spans="1:20">
      <c r="A51" s="53" t="s">
        <v>377</v>
      </c>
      <c r="B51" s="85" t="s">
        <v>169</v>
      </c>
      <c r="C51" s="120"/>
      <c r="D51" s="121" t="s">
        <v>233</v>
      </c>
      <c r="E51" s="122">
        <v>4403047</v>
      </c>
      <c r="F51" s="252">
        <v>4403047</v>
      </c>
      <c r="G51" s="122"/>
      <c r="H51" s="123">
        <v>32</v>
      </c>
      <c r="I51" s="122"/>
      <c r="J51" s="46">
        <v>0</v>
      </c>
      <c r="K51" s="46"/>
      <c r="L51" s="46">
        <v>0</v>
      </c>
      <c r="M51" s="46"/>
      <c r="N51" s="46">
        <f t="shared" si="0"/>
        <v>0</v>
      </c>
      <c r="O51" s="46"/>
      <c r="P51" s="46">
        <v>140897504</v>
      </c>
      <c r="Q51" s="46"/>
      <c r="R51" s="46">
        <v>0</v>
      </c>
      <c r="S51" s="46"/>
      <c r="T51" s="46">
        <f t="shared" si="1"/>
        <v>140897504</v>
      </c>
    </row>
    <row r="52" spans="1:20">
      <c r="A52" s="53" t="s">
        <v>378</v>
      </c>
      <c r="B52" s="85" t="s">
        <v>211</v>
      </c>
      <c r="C52" s="120"/>
      <c r="D52" s="121" t="s">
        <v>238</v>
      </c>
      <c r="E52" s="122">
        <v>69093</v>
      </c>
      <c r="F52" s="252">
        <v>69093</v>
      </c>
      <c r="G52" s="122"/>
      <c r="H52" s="123">
        <v>400</v>
      </c>
      <c r="I52" s="122"/>
      <c r="J52" s="46">
        <v>0</v>
      </c>
      <c r="K52" s="46"/>
      <c r="L52" s="46">
        <v>0</v>
      </c>
      <c r="M52" s="46"/>
      <c r="N52" s="46">
        <f t="shared" si="0"/>
        <v>0</v>
      </c>
      <c r="O52" s="46"/>
      <c r="P52" s="46">
        <v>27637200</v>
      </c>
      <c r="Q52" s="46"/>
      <c r="R52" s="46">
        <v>0</v>
      </c>
      <c r="S52" s="46"/>
      <c r="T52" s="46">
        <f t="shared" si="1"/>
        <v>27637200</v>
      </c>
    </row>
    <row r="53" spans="1:20">
      <c r="A53" s="53" t="s">
        <v>382</v>
      </c>
      <c r="B53" s="85" t="s">
        <v>124</v>
      </c>
      <c r="C53" s="120"/>
      <c r="D53" s="121" t="s">
        <v>241</v>
      </c>
      <c r="E53" s="122">
        <v>293469</v>
      </c>
      <c r="F53" s="252">
        <v>293469</v>
      </c>
      <c r="G53" s="122"/>
      <c r="H53" s="123">
        <v>740</v>
      </c>
      <c r="I53" s="122"/>
      <c r="J53" s="46">
        <v>0</v>
      </c>
      <c r="K53" s="46"/>
      <c r="L53" s="46">
        <v>0</v>
      </c>
      <c r="M53" s="46"/>
      <c r="N53" s="46">
        <f t="shared" si="0"/>
        <v>0</v>
      </c>
      <c r="O53" s="46"/>
      <c r="P53" s="46">
        <v>217167060</v>
      </c>
      <c r="Q53" s="46"/>
      <c r="R53" s="46">
        <v>0</v>
      </c>
      <c r="S53" s="46"/>
      <c r="T53" s="46">
        <f t="shared" si="1"/>
        <v>217167060</v>
      </c>
    </row>
    <row r="54" spans="1:20">
      <c r="A54" s="53" t="s">
        <v>383</v>
      </c>
      <c r="B54" s="85" t="s">
        <v>153</v>
      </c>
      <c r="C54" s="120"/>
      <c r="D54" s="121" t="s">
        <v>240</v>
      </c>
      <c r="E54" s="122">
        <v>355050</v>
      </c>
      <c r="F54" s="252">
        <v>355050</v>
      </c>
      <c r="G54" s="122"/>
      <c r="H54" s="123">
        <v>2000</v>
      </c>
      <c r="I54" s="122"/>
      <c r="J54" s="46">
        <v>0</v>
      </c>
      <c r="K54" s="46"/>
      <c r="L54" s="46">
        <v>0</v>
      </c>
      <c r="M54" s="46"/>
      <c r="N54" s="46">
        <f t="shared" si="0"/>
        <v>0</v>
      </c>
      <c r="O54" s="46"/>
      <c r="P54" s="46">
        <v>710100000</v>
      </c>
      <c r="Q54" s="46"/>
      <c r="R54" s="46">
        <v>0</v>
      </c>
      <c r="S54" s="46"/>
      <c r="T54" s="46">
        <f t="shared" si="1"/>
        <v>710100000</v>
      </c>
    </row>
    <row r="55" spans="1:20">
      <c r="A55" s="53" t="s">
        <v>387</v>
      </c>
      <c r="B55" s="151" t="s">
        <v>98</v>
      </c>
      <c r="D55" s="121" t="s">
        <v>246</v>
      </c>
      <c r="E55" s="122">
        <v>491633</v>
      </c>
      <c r="F55" s="252">
        <v>491633</v>
      </c>
      <c r="H55" s="139">
        <v>4350</v>
      </c>
      <c r="J55" s="139">
        <v>0</v>
      </c>
      <c r="K55" s="151"/>
      <c r="L55" s="46">
        <v>0</v>
      </c>
      <c r="M55" s="151"/>
      <c r="N55" s="46">
        <f t="shared" si="0"/>
        <v>0</v>
      </c>
      <c r="O55" s="151"/>
      <c r="P55" s="139">
        <v>2138603550</v>
      </c>
      <c r="Q55" s="151"/>
      <c r="R55" s="139">
        <v>0</v>
      </c>
      <c r="S55" s="151"/>
      <c r="T55" s="46">
        <f t="shared" si="1"/>
        <v>2138603550</v>
      </c>
    </row>
    <row r="56" spans="1:20">
      <c r="A56" s="53" t="s">
        <v>388</v>
      </c>
      <c r="B56" s="85" t="s">
        <v>152</v>
      </c>
      <c r="C56" s="120"/>
      <c r="D56" s="121" t="s">
        <v>240</v>
      </c>
      <c r="E56" s="122">
        <v>1369159</v>
      </c>
      <c r="F56" s="252">
        <v>1369159</v>
      </c>
      <c r="G56" s="122"/>
      <c r="H56" s="123">
        <v>700</v>
      </c>
      <c r="I56" s="122"/>
      <c r="J56" s="46">
        <v>0</v>
      </c>
      <c r="K56" s="46"/>
      <c r="L56" s="46">
        <v>0</v>
      </c>
      <c r="M56" s="46"/>
      <c r="N56" s="46">
        <f t="shared" si="0"/>
        <v>0</v>
      </c>
      <c r="O56" s="46"/>
      <c r="P56" s="46">
        <v>958411300</v>
      </c>
      <c r="Q56" s="46"/>
      <c r="R56" s="46">
        <v>0</v>
      </c>
      <c r="S56" s="46"/>
      <c r="T56" s="46">
        <f t="shared" si="1"/>
        <v>958411300</v>
      </c>
    </row>
    <row r="57" spans="1:20">
      <c r="A57" s="53" t="s">
        <v>389</v>
      </c>
      <c r="B57" s="85" t="s">
        <v>163</v>
      </c>
      <c r="C57" s="120"/>
      <c r="D57" s="121" t="s">
        <v>238</v>
      </c>
      <c r="E57" s="122">
        <v>105355</v>
      </c>
      <c r="F57" s="252">
        <v>105355</v>
      </c>
      <c r="G57" s="122"/>
      <c r="H57" s="123">
        <v>400</v>
      </c>
      <c r="I57" s="122"/>
      <c r="J57" s="46">
        <v>0</v>
      </c>
      <c r="K57" s="46"/>
      <c r="L57" s="46">
        <v>0</v>
      </c>
      <c r="M57" s="46"/>
      <c r="N57" s="46">
        <f t="shared" si="0"/>
        <v>0</v>
      </c>
      <c r="O57" s="46"/>
      <c r="P57" s="46">
        <v>42142000</v>
      </c>
      <c r="Q57" s="46"/>
      <c r="R57" s="46">
        <v>0</v>
      </c>
      <c r="S57" s="46"/>
      <c r="T57" s="46">
        <f t="shared" si="1"/>
        <v>42142000</v>
      </c>
    </row>
    <row r="58" spans="1:20">
      <c r="A58" s="53" t="s">
        <v>390</v>
      </c>
      <c r="B58" s="85" t="s">
        <v>101</v>
      </c>
      <c r="C58" s="120"/>
      <c r="D58" s="121" t="s">
        <v>246</v>
      </c>
      <c r="E58" s="122">
        <v>1048281</v>
      </c>
      <c r="F58" s="252">
        <v>1048281</v>
      </c>
      <c r="G58" s="122"/>
      <c r="H58" s="123">
        <v>85</v>
      </c>
      <c r="I58" s="122"/>
      <c r="J58" s="46">
        <v>0</v>
      </c>
      <c r="K58" s="46"/>
      <c r="L58" s="46">
        <v>0</v>
      </c>
      <c r="M58" s="46"/>
      <c r="N58" s="46">
        <f t="shared" si="0"/>
        <v>0</v>
      </c>
      <c r="O58" s="46"/>
      <c r="P58" s="46">
        <v>89103885</v>
      </c>
      <c r="Q58" s="46"/>
      <c r="R58" s="46">
        <v>0</v>
      </c>
      <c r="S58" s="46"/>
      <c r="T58" s="46">
        <f t="shared" si="1"/>
        <v>89103885</v>
      </c>
    </row>
    <row r="59" spans="1:20">
      <c r="A59" s="53" t="s">
        <v>394</v>
      </c>
      <c r="B59" s="85" t="s">
        <v>119</v>
      </c>
      <c r="C59" s="120"/>
      <c r="D59" s="121" t="s">
        <v>246</v>
      </c>
      <c r="E59" s="122">
        <v>1976188</v>
      </c>
      <c r="F59" s="252">
        <v>1976188</v>
      </c>
      <c r="G59" s="122"/>
      <c r="H59" s="123">
        <v>640</v>
      </c>
      <c r="I59" s="122"/>
      <c r="J59" s="46">
        <v>0</v>
      </c>
      <c r="K59" s="46"/>
      <c r="L59" s="139">
        <v>0</v>
      </c>
      <c r="M59" s="46"/>
      <c r="N59" s="46">
        <f t="shared" si="0"/>
        <v>0</v>
      </c>
      <c r="O59" s="46"/>
      <c r="P59" s="46">
        <v>1264760320</v>
      </c>
      <c r="Q59" s="46"/>
      <c r="R59" s="46">
        <v>0</v>
      </c>
      <c r="S59" s="46"/>
      <c r="T59" s="46">
        <f t="shared" si="1"/>
        <v>1264760320</v>
      </c>
    </row>
    <row r="60" spans="1:20">
      <c r="A60" s="53" t="s">
        <v>395</v>
      </c>
      <c r="B60" s="85" t="s">
        <v>192</v>
      </c>
      <c r="C60" s="120"/>
      <c r="D60" s="121" t="s">
        <v>251</v>
      </c>
      <c r="E60" s="122">
        <v>2821</v>
      </c>
      <c r="F60" s="252">
        <v>2821</v>
      </c>
      <c r="G60" s="122"/>
      <c r="H60" s="123">
        <v>1700</v>
      </c>
      <c r="I60" s="122"/>
      <c r="J60" s="46">
        <v>0</v>
      </c>
      <c r="K60" s="46"/>
      <c r="L60" s="139">
        <v>0</v>
      </c>
      <c r="M60" s="46"/>
      <c r="N60" s="46">
        <f t="shared" si="0"/>
        <v>0</v>
      </c>
      <c r="O60" s="46"/>
      <c r="P60" s="46">
        <v>4795700</v>
      </c>
      <c r="Q60" s="46"/>
      <c r="R60" s="46">
        <v>0</v>
      </c>
      <c r="S60" s="46"/>
      <c r="T60" s="46">
        <f t="shared" si="1"/>
        <v>4795700</v>
      </c>
    </row>
    <row r="61" spans="1:20">
      <c r="A61" s="53" t="s">
        <v>396</v>
      </c>
      <c r="B61" s="85" t="s">
        <v>137</v>
      </c>
      <c r="C61" s="120"/>
      <c r="D61" s="121" t="s">
        <v>237</v>
      </c>
      <c r="E61" s="122">
        <v>226122</v>
      </c>
      <c r="F61" s="252">
        <v>226122</v>
      </c>
      <c r="G61" s="122"/>
      <c r="H61" s="123">
        <v>1250</v>
      </c>
      <c r="I61" s="122"/>
      <c r="J61" s="46">
        <v>0</v>
      </c>
      <c r="K61" s="46"/>
      <c r="L61" s="139">
        <v>0</v>
      </c>
      <c r="M61" s="46"/>
      <c r="N61" s="46">
        <f t="shared" si="0"/>
        <v>0</v>
      </c>
      <c r="O61" s="46"/>
      <c r="P61" s="46">
        <v>282652500</v>
      </c>
      <c r="Q61" s="46"/>
      <c r="R61" s="46">
        <v>0</v>
      </c>
      <c r="S61" s="46"/>
      <c r="T61" s="46">
        <f t="shared" si="1"/>
        <v>282652500</v>
      </c>
    </row>
    <row r="62" spans="1:20">
      <c r="A62" s="53" t="s">
        <v>398</v>
      </c>
      <c r="B62" s="85" t="s">
        <v>223</v>
      </c>
      <c r="C62" s="120"/>
      <c r="D62" s="121" t="s">
        <v>246</v>
      </c>
      <c r="E62" s="122">
        <v>1754536</v>
      </c>
      <c r="F62" s="252">
        <v>1754536</v>
      </c>
      <c r="G62" s="122"/>
      <c r="H62" s="123">
        <v>450</v>
      </c>
      <c r="I62" s="122"/>
      <c r="J62" s="46">
        <v>0</v>
      </c>
      <c r="K62" s="46"/>
      <c r="L62" s="139">
        <v>0</v>
      </c>
      <c r="M62" s="46"/>
      <c r="N62" s="46">
        <f t="shared" si="0"/>
        <v>0</v>
      </c>
      <c r="O62" s="46"/>
      <c r="P62" s="46">
        <v>789541200</v>
      </c>
      <c r="Q62" s="46"/>
      <c r="R62" s="46">
        <v>0</v>
      </c>
      <c r="S62" s="46"/>
      <c r="T62" s="46">
        <f t="shared" si="1"/>
        <v>789541200</v>
      </c>
    </row>
    <row r="63" spans="1:20">
      <c r="A63" s="53" t="s">
        <v>399</v>
      </c>
      <c r="B63" s="85" t="s">
        <v>228</v>
      </c>
      <c r="C63" s="120"/>
      <c r="D63" s="121" t="s">
        <v>496</v>
      </c>
      <c r="E63" s="122">
        <v>528705</v>
      </c>
      <c r="F63" s="252">
        <v>528705</v>
      </c>
      <c r="G63" s="122"/>
      <c r="H63" s="123">
        <v>265</v>
      </c>
      <c r="I63" s="122"/>
      <c r="J63" s="46">
        <v>0</v>
      </c>
      <c r="K63" s="46"/>
      <c r="L63" s="139">
        <v>0</v>
      </c>
      <c r="M63" s="46"/>
      <c r="N63" s="46">
        <f t="shared" si="0"/>
        <v>0</v>
      </c>
      <c r="O63" s="46"/>
      <c r="P63" s="46">
        <v>140106825</v>
      </c>
      <c r="Q63" s="46"/>
      <c r="R63" s="46">
        <v>0</v>
      </c>
      <c r="S63" s="46"/>
      <c r="T63" s="46">
        <f t="shared" si="1"/>
        <v>140106825</v>
      </c>
    </row>
    <row r="64" spans="1:20">
      <c r="A64" s="53" t="s">
        <v>400</v>
      </c>
      <c r="B64" s="85" t="s">
        <v>209</v>
      </c>
      <c r="C64" s="120"/>
      <c r="D64" s="121" t="s">
        <v>245</v>
      </c>
      <c r="E64" s="122">
        <v>633854</v>
      </c>
      <c r="F64" s="252">
        <v>633854</v>
      </c>
      <c r="G64" s="122"/>
      <c r="H64" s="123">
        <v>400</v>
      </c>
      <c r="I64" s="122"/>
      <c r="J64" s="46">
        <v>0</v>
      </c>
      <c r="K64" s="46"/>
      <c r="L64" s="139">
        <v>0</v>
      </c>
      <c r="M64" s="46"/>
      <c r="N64" s="46">
        <f t="shared" si="0"/>
        <v>0</v>
      </c>
      <c r="O64" s="46"/>
      <c r="P64" s="46">
        <v>253541600</v>
      </c>
      <c r="Q64" s="46"/>
      <c r="R64" s="46">
        <v>0</v>
      </c>
      <c r="S64" s="46"/>
      <c r="T64" s="46">
        <f t="shared" si="1"/>
        <v>253541600</v>
      </c>
    </row>
    <row r="65" spans="1:20">
      <c r="A65" s="53" t="s">
        <v>402</v>
      </c>
      <c r="B65" s="85" t="s">
        <v>162</v>
      </c>
      <c r="C65" s="120"/>
      <c r="D65" s="121" t="s">
        <v>233</v>
      </c>
      <c r="E65" s="122">
        <v>302497</v>
      </c>
      <c r="F65" s="252">
        <v>302497</v>
      </c>
      <c r="G65" s="122"/>
      <c r="H65" s="140">
        <v>2650</v>
      </c>
      <c r="I65" s="122"/>
      <c r="J65" s="139">
        <v>0</v>
      </c>
      <c r="K65" s="139"/>
      <c r="L65" s="139">
        <v>0</v>
      </c>
      <c r="M65" s="139"/>
      <c r="N65" s="46">
        <f t="shared" si="0"/>
        <v>0</v>
      </c>
      <c r="O65" s="139"/>
      <c r="P65" s="139">
        <v>801617050</v>
      </c>
      <c r="Q65" s="139"/>
      <c r="R65" s="139">
        <v>0</v>
      </c>
      <c r="S65" s="139"/>
      <c r="T65" s="46">
        <f t="shared" si="1"/>
        <v>801617050</v>
      </c>
    </row>
    <row r="66" spans="1:20">
      <c r="A66" s="53" t="s">
        <v>404</v>
      </c>
      <c r="B66" s="85" t="s">
        <v>165</v>
      </c>
      <c r="C66" s="120"/>
      <c r="D66" s="121" t="s">
        <v>238</v>
      </c>
      <c r="E66" s="122">
        <v>521923</v>
      </c>
      <c r="F66" s="252">
        <v>521923</v>
      </c>
      <c r="G66" s="122"/>
      <c r="H66" s="123">
        <v>510</v>
      </c>
      <c r="I66" s="122"/>
      <c r="J66" s="46">
        <v>0</v>
      </c>
      <c r="K66" s="46"/>
      <c r="L66" s="139">
        <v>0</v>
      </c>
      <c r="M66" s="46"/>
      <c r="N66" s="46">
        <f t="shared" si="0"/>
        <v>0</v>
      </c>
      <c r="O66" s="46"/>
      <c r="P66" s="46">
        <v>266180730</v>
      </c>
      <c r="Q66" s="46"/>
      <c r="R66" s="46">
        <v>-1089416</v>
      </c>
      <c r="S66" s="46"/>
      <c r="T66" s="46">
        <f t="shared" si="1"/>
        <v>265091314</v>
      </c>
    </row>
    <row r="67" spans="1:20">
      <c r="A67" s="53" t="s">
        <v>461</v>
      </c>
      <c r="B67" s="85" t="s">
        <v>94</v>
      </c>
      <c r="C67" s="120"/>
      <c r="D67" s="121" t="s">
        <v>245</v>
      </c>
      <c r="E67" s="122">
        <v>813670</v>
      </c>
      <c r="F67" s="252">
        <v>813670</v>
      </c>
      <c r="G67" s="122"/>
      <c r="H67" s="123">
        <v>36</v>
      </c>
      <c r="I67" s="122"/>
      <c r="J67" s="46">
        <v>0</v>
      </c>
      <c r="K67" s="46"/>
      <c r="L67" s="139">
        <v>0</v>
      </c>
      <c r="M67" s="46"/>
      <c r="N67" s="46">
        <f t="shared" si="0"/>
        <v>0</v>
      </c>
      <c r="O67" s="46"/>
      <c r="P67" s="46">
        <v>29292120</v>
      </c>
      <c r="Q67" s="46"/>
      <c r="R67" s="46">
        <v>0</v>
      </c>
      <c r="S67" s="46"/>
      <c r="T67" s="46">
        <f t="shared" si="1"/>
        <v>29292120</v>
      </c>
    </row>
    <row r="68" spans="1:20">
      <c r="A68" s="53" t="s">
        <v>406</v>
      </c>
      <c r="B68" s="85" t="s">
        <v>127</v>
      </c>
      <c r="C68" s="120"/>
      <c r="D68" s="121" t="s">
        <v>245</v>
      </c>
      <c r="E68" s="122">
        <v>104252</v>
      </c>
      <c r="F68" s="252">
        <v>104252</v>
      </c>
      <c r="G68" s="122"/>
      <c r="H68" s="123">
        <v>3680</v>
      </c>
      <c r="I68" s="122"/>
      <c r="J68" s="46">
        <v>0</v>
      </c>
      <c r="K68" s="46"/>
      <c r="L68" s="139">
        <v>0</v>
      </c>
      <c r="M68" s="46"/>
      <c r="N68" s="46">
        <f t="shared" si="0"/>
        <v>0</v>
      </c>
      <c r="O68" s="46"/>
      <c r="P68" s="46">
        <v>383647360</v>
      </c>
      <c r="Q68" s="46"/>
      <c r="R68" s="46">
        <v>0</v>
      </c>
      <c r="S68" s="46"/>
      <c r="T68" s="46">
        <f t="shared" si="1"/>
        <v>383647360</v>
      </c>
    </row>
    <row r="69" spans="1:20">
      <c r="A69" s="53" t="s">
        <v>409</v>
      </c>
      <c r="B69" s="85" t="s">
        <v>182</v>
      </c>
      <c r="C69" s="120"/>
      <c r="D69" s="121" t="s">
        <v>247</v>
      </c>
      <c r="E69" s="122">
        <v>901999</v>
      </c>
      <c r="F69" s="252">
        <v>901999</v>
      </c>
      <c r="G69" s="122"/>
      <c r="H69" s="140">
        <v>2000</v>
      </c>
      <c r="I69" s="122"/>
      <c r="J69" s="139">
        <v>0</v>
      </c>
      <c r="K69" s="139"/>
      <c r="L69" s="139">
        <v>0</v>
      </c>
      <c r="M69" s="139"/>
      <c r="N69" s="46">
        <f t="shared" si="0"/>
        <v>0</v>
      </c>
      <c r="O69" s="139"/>
      <c r="P69" s="139">
        <v>1803998000</v>
      </c>
      <c r="Q69" s="139"/>
      <c r="R69" s="139">
        <v>-36322107</v>
      </c>
      <c r="S69" s="139"/>
      <c r="T69" s="46">
        <f t="shared" si="1"/>
        <v>1767675893</v>
      </c>
    </row>
    <row r="70" spans="1:20">
      <c r="A70" s="53" t="s">
        <v>410</v>
      </c>
      <c r="B70" s="85" t="s">
        <v>178</v>
      </c>
      <c r="C70" s="120"/>
      <c r="D70" s="121" t="s">
        <v>460</v>
      </c>
      <c r="E70" s="122">
        <v>91306</v>
      </c>
      <c r="F70" s="252">
        <v>91306</v>
      </c>
      <c r="G70" s="122"/>
      <c r="H70" s="123">
        <v>170</v>
      </c>
      <c r="I70" s="122"/>
      <c r="J70" s="46">
        <v>0</v>
      </c>
      <c r="K70" s="46"/>
      <c r="L70" s="139">
        <v>0</v>
      </c>
      <c r="M70" s="46"/>
      <c r="N70" s="46">
        <f t="shared" si="0"/>
        <v>0</v>
      </c>
      <c r="O70" s="46"/>
      <c r="P70" s="46">
        <v>15522020</v>
      </c>
      <c r="Q70" s="46"/>
      <c r="R70" s="46">
        <v>-768017</v>
      </c>
      <c r="S70" s="46"/>
      <c r="T70" s="46">
        <f t="shared" si="1"/>
        <v>14754003</v>
      </c>
    </row>
    <row r="71" spans="1:20">
      <c r="A71" s="53" t="s">
        <v>412</v>
      </c>
      <c r="B71" s="85" t="s">
        <v>266</v>
      </c>
      <c r="C71" s="120"/>
      <c r="D71" s="121" t="s">
        <v>466</v>
      </c>
      <c r="E71" s="122">
        <v>125122</v>
      </c>
      <c r="F71" s="252">
        <v>125122</v>
      </c>
      <c r="G71" s="122"/>
      <c r="H71" s="123">
        <v>2900</v>
      </c>
      <c r="I71" s="122"/>
      <c r="J71" s="46">
        <v>0</v>
      </c>
      <c r="K71" s="46"/>
      <c r="L71" s="139">
        <v>0</v>
      </c>
      <c r="M71" s="46"/>
      <c r="N71" s="46">
        <f t="shared" si="0"/>
        <v>0</v>
      </c>
      <c r="O71" s="46"/>
      <c r="P71" s="46">
        <v>362853800</v>
      </c>
      <c r="Q71" s="46"/>
      <c r="R71" s="46">
        <v>0</v>
      </c>
      <c r="S71" s="46"/>
      <c r="T71" s="46">
        <f t="shared" si="1"/>
        <v>362853800</v>
      </c>
    </row>
    <row r="72" spans="1:20">
      <c r="A72" s="53" t="s">
        <v>462</v>
      </c>
      <c r="B72" s="85" t="s">
        <v>217</v>
      </c>
      <c r="C72" s="120"/>
      <c r="D72" s="121" t="s">
        <v>245</v>
      </c>
      <c r="E72" s="122">
        <v>7379981</v>
      </c>
      <c r="F72" s="252">
        <v>7379981</v>
      </c>
      <c r="G72" s="122"/>
      <c r="H72" s="123">
        <v>7</v>
      </c>
      <c r="I72" s="122"/>
      <c r="J72" s="46">
        <v>0</v>
      </c>
      <c r="K72" s="46"/>
      <c r="L72" s="139">
        <v>0</v>
      </c>
      <c r="M72" s="46"/>
      <c r="N72" s="46">
        <f t="shared" si="0"/>
        <v>0</v>
      </c>
      <c r="O72" s="46"/>
      <c r="P72" s="46">
        <v>51659867</v>
      </c>
      <c r="Q72" s="46"/>
      <c r="R72" s="46">
        <v>0</v>
      </c>
      <c r="S72" s="46"/>
      <c r="T72" s="46">
        <f t="shared" si="1"/>
        <v>51659867</v>
      </c>
    </row>
    <row r="73" spans="1:20">
      <c r="A73" s="53" t="s">
        <v>345</v>
      </c>
      <c r="B73" s="85" t="s">
        <v>142</v>
      </c>
      <c r="C73" s="120"/>
      <c r="D73" s="121" t="s">
        <v>460</v>
      </c>
      <c r="E73" s="122">
        <v>467028</v>
      </c>
      <c r="F73" s="252">
        <v>467028</v>
      </c>
      <c r="G73" s="122"/>
      <c r="H73" s="123">
        <v>350</v>
      </c>
      <c r="I73" s="122"/>
      <c r="J73" s="46">
        <v>0</v>
      </c>
      <c r="K73" s="46"/>
      <c r="L73" s="139">
        <v>0</v>
      </c>
      <c r="M73" s="46"/>
      <c r="N73" s="46">
        <f t="shared" ref="N73:N87" si="2">J73+L73</f>
        <v>0</v>
      </c>
      <c r="O73" s="46"/>
      <c r="P73" s="46">
        <v>163459800</v>
      </c>
      <c r="Q73" s="46"/>
      <c r="R73" s="46">
        <v>-2751848</v>
      </c>
      <c r="S73" s="46"/>
      <c r="T73" s="46">
        <f t="shared" ref="T73:T86" si="3">P73+R73</f>
        <v>160707952</v>
      </c>
    </row>
    <row r="74" spans="1:20">
      <c r="A74" s="53" t="s">
        <v>421</v>
      </c>
      <c r="B74" s="85" t="s">
        <v>89</v>
      </c>
      <c r="C74" s="120"/>
      <c r="D74" s="121" t="s">
        <v>543</v>
      </c>
      <c r="E74" s="122">
        <v>966662</v>
      </c>
      <c r="F74" s="252">
        <v>966662</v>
      </c>
      <c r="G74" s="122"/>
      <c r="H74" s="123">
        <v>5100</v>
      </c>
      <c r="I74" s="122"/>
      <c r="J74" s="46">
        <v>4929976200</v>
      </c>
      <c r="K74" s="46"/>
      <c r="L74" s="139">
        <v>-700971939</v>
      </c>
      <c r="M74" s="46"/>
      <c r="N74" s="46">
        <f t="shared" si="2"/>
        <v>4229004261</v>
      </c>
      <c r="O74" s="46"/>
      <c r="P74" s="46">
        <v>4929976200</v>
      </c>
      <c r="Q74" s="46"/>
      <c r="R74" s="46">
        <v>-700971939</v>
      </c>
      <c r="S74" s="46"/>
      <c r="T74" s="46">
        <f t="shared" si="3"/>
        <v>4229004261</v>
      </c>
    </row>
    <row r="75" spans="1:20">
      <c r="A75" s="53" t="s">
        <v>424</v>
      </c>
      <c r="B75" s="85" t="s">
        <v>170</v>
      </c>
      <c r="C75" s="120"/>
      <c r="D75" s="121" t="s">
        <v>238</v>
      </c>
      <c r="E75" s="122">
        <v>353719</v>
      </c>
      <c r="F75" s="252">
        <v>353719</v>
      </c>
      <c r="G75" s="122"/>
      <c r="H75" s="123">
        <v>1270</v>
      </c>
      <c r="I75" s="122"/>
      <c r="J75" s="46">
        <v>0</v>
      </c>
      <c r="K75" s="46"/>
      <c r="L75" s="139">
        <v>0</v>
      </c>
      <c r="M75" s="46"/>
      <c r="N75" s="46">
        <f t="shared" si="2"/>
        <v>0</v>
      </c>
      <c r="O75" s="46"/>
      <c r="P75" s="46">
        <v>449223130</v>
      </c>
      <c r="Q75" s="46"/>
      <c r="R75" s="46">
        <v>0</v>
      </c>
      <c r="S75" s="46"/>
      <c r="T75" s="46">
        <f t="shared" si="3"/>
        <v>449223130</v>
      </c>
    </row>
    <row r="76" spans="1:20">
      <c r="A76" s="53" t="s">
        <v>428</v>
      </c>
      <c r="B76" s="85" t="s">
        <v>268</v>
      </c>
      <c r="C76" s="120"/>
      <c r="D76" s="121" t="s">
        <v>544</v>
      </c>
      <c r="E76" s="122">
        <v>1548536</v>
      </c>
      <c r="F76" s="252">
        <v>1548536</v>
      </c>
      <c r="G76" s="122"/>
      <c r="H76" s="123">
        <v>100</v>
      </c>
      <c r="I76" s="122"/>
      <c r="J76" s="46">
        <v>154853600</v>
      </c>
      <c r="K76" s="46"/>
      <c r="L76" s="139">
        <v>-4129429</v>
      </c>
      <c r="M76" s="46"/>
      <c r="N76" s="46">
        <f t="shared" si="2"/>
        <v>150724171</v>
      </c>
      <c r="O76" s="46"/>
      <c r="P76" s="46">
        <v>154853600</v>
      </c>
      <c r="Q76" s="46"/>
      <c r="R76" s="46">
        <v>-4129429</v>
      </c>
      <c r="S76" s="46"/>
      <c r="T76" s="46">
        <f t="shared" si="3"/>
        <v>150724171</v>
      </c>
    </row>
    <row r="77" spans="1:20">
      <c r="A77" s="53" t="s">
        <v>429</v>
      </c>
      <c r="B77" s="85" t="s">
        <v>172</v>
      </c>
      <c r="C77" s="120"/>
      <c r="D77" s="121" t="s">
        <v>247</v>
      </c>
      <c r="E77" s="122">
        <v>1477813</v>
      </c>
      <c r="F77" s="252">
        <v>1477813</v>
      </c>
      <c r="G77" s="122"/>
      <c r="H77" s="123">
        <v>120</v>
      </c>
      <c r="I77" s="122"/>
      <c r="J77" s="46">
        <v>0</v>
      </c>
      <c r="K77" s="46"/>
      <c r="L77" s="139">
        <v>0</v>
      </c>
      <c r="M77" s="46"/>
      <c r="N77" s="46">
        <f t="shared" si="2"/>
        <v>0</v>
      </c>
      <c r="O77" s="46"/>
      <c r="P77" s="46">
        <v>177337560</v>
      </c>
      <c r="Q77" s="46"/>
      <c r="R77" s="46">
        <v>0</v>
      </c>
      <c r="S77" s="46"/>
      <c r="T77" s="46">
        <f t="shared" si="3"/>
        <v>177337560</v>
      </c>
    </row>
    <row r="78" spans="1:20">
      <c r="A78" s="53" t="s">
        <v>430</v>
      </c>
      <c r="B78" s="85" t="s">
        <v>174</v>
      </c>
      <c r="C78" s="120"/>
      <c r="D78" s="121" t="s">
        <v>236</v>
      </c>
      <c r="E78" s="122">
        <v>3966117</v>
      </c>
      <c r="F78" s="252">
        <v>3966117</v>
      </c>
      <c r="G78" s="122"/>
      <c r="H78" s="123">
        <v>130</v>
      </c>
      <c r="I78" s="122"/>
      <c r="J78" s="46">
        <v>0</v>
      </c>
      <c r="K78" s="46"/>
      <c r="L78" s="139">
        <v>0</v>
      </c>
      <c r="M78" s="46"/>
      <c r="N78" s="46">
        <f t="shared" si="2"/>
        <v>0</v>
      </c>
      <c r="O78" s="46"/>
      <c r="P78" s="46">
        <v>515595210</v>
      </c>
      <c r="Q78" s="46"/>
      <c r="R78" s="46">
        <v>0</v>
      </c>
      <c r="S78" s="46"/>
      <c r="T78" s="46">
        <f t="shared" si="3"/>
        <v>515595210</v>
      </c>
    </row>
    <row r="79" spans="1:20">
      <c r="A79" s="53" t="s">
        <v>434</v>
      </c>
      <c r="B79" s="85" t="s">
        <v>154</v>
      </c>
      <c r="C79" s="120"/>
      <c r="D79" s="121" t="s">
        <v>232</v>
      </c>
      <c r="E79" s="122">
        <v>516554</v>
      </c>
      <c r="F79" s="252">
        <v>516554</v>
      </c>
      <c r="G79" s="122"/>
      <c r="H79" s="123">
        <v>200</v>
      </c>
      <c r="I79" s="122"/>
      <c r="J79" s="46">
        <v>0</v>
      </c>
      <c r="K79" s="46"/>
      <c r="L79" s="139">
        <v>0</v>
      </c>
      <c r="M79" s="46"/>
      <c r="N79" s="46">
        <f t="shared" si="2"/>
        <v>0</v>
      </c>
      <c r="O79" s="46"/>
      <c r="P79" s="46">
        <v>103310800</v>
      </c>
      <c r="Q79" s="46"/>
      <c r="R79" s="46">
        <v>0</v>
      </c>
      <c r="S79" s="46"/>
      <c r="T79" s="46">
        <f t="shared" si="3"/>
        <v>103310800</v>
      </c>
    </row>
    <row r="80" spans="1:20">
      <c r="B80" s="85" t="s">
        <v>131</v>
      </c>
      <c r="C80" s="120"/>
      <c r="D80" s="121" t="s">
        <v>543</v>
      </c>
      <c r="E80" s="122">
        <v>6709841</v>
      </c>
      <c r="F80" s="252">
        <v>6709841</v>
      </c>
      <c r="G80" s="122"/>
      <c r="H80" s="123">
        <v>20</v>
      </c>
      <c r="I80" s="122"/>
      <c r="J80" s="46">
        <v>134196820</v>
      </c>
      <c r="K80" s="46"/>
      <c r="L80" s="139">
        <v>-19080864</v>
      </c>
      <c r="M80" s="46"/>
      <c r="N80" s="46">
        <f t="shared" si="2"/>
        <v>115115956</v>
      </c>
      <c r="O80" s="46"/>
      <c r="P80" s="46">
        <v>134196820</v>
      </c>
      <c r="Q80" s="46"/>
      <c r="R80" s="46">
        <v>-19080864</v>
      </c>
      <c r="S80" s="46"/>
      <c r="T80" s="46">
        <f t="shared" si="3"/>
        <v>115115956</v>
      </c>
    </row>
    <row r="81" spans="1:20">
      <c r="B81" s="85" t="s">
        <v>190</v>
      </c>
      <c r="C81" s="120"/>
      <c r="D81" s="121" t="s">
        <v>244</v>
      </c>
      <c r="E81" s="122">
        <v>1336086</v>
      </c>
      <c r="F81" s="252">
        <v>1336086</v>
      </c>
      <c r="G81" s="122"/>
      <c r="H81" s="123">
        <v>6500</v>
      </c>
      <c r="I81" s="122"/>
      <c r="J81" s="46">
        <v>0</v>
      </c>
      <c r="K81" s="46"/>
      <c r="L81" s="139">
        <v>0</v>
      </c>
      <c r="M81" s="46"/>
      <c r="N81" s="46">
        <f t="shared" si="2"/>
        <v>0</v>
      </c>
      <c r="O81" s="46"/>
      <c r="P81" s="46">
        <v>8684559000</v>
      </c>
      <c r="Q81" s="46"/>
      <c r="R81" s="46">
        <v>0</v>
      </c>
      <c r="S81" s="46"/>
      <c r="T81" s="46">
        <f t="shared" si="3"/>
        <v>8684559000</v>
      </c>
    </row>
    <row r="82" spans="1:20">
      <c r="B82" s="85" t="s">
        <v>206</v>
      </c>
      <c r="C82" s="120"/>
      <c r="D82" s="121" t="s">
        <v>246</v>
      </c>
      <c r="E82" s="122">
        <v>1256325</v>
      </c>
      <c r="F82" s="252">
        <v>1256325</v>
      </c>
      <c r="G82" s="122"/>
      <c r="H82" s="123">
        <v>700</v>
      </c>
      <c r="I82" s="122"/>
      <c r="J82" s="46">
        <v>0</v>
      </c>
      <c r="K82" s="46"/>
      <c r="L82" s="139">
        <v>0</v>
      </c>
      <c r="M82" s="46"/>
      <c r="N82" s="46">
        <f t="shared" si="2"/>
        <v>0</v>
      </c>
      <c r="O82" s="46"/>
      <c r="P82" s="46">
        <v>879427500</v>
      </c>
      <c r="Q82" s="46"/>
      <c r="R82" s="46">
        <v>0</v>
      </c>
      <c r="S82" s="46"/>
      <c r="T82" s="46">
        <f t="shared" si="3"/>
        <v>879427500</v>
      </c>
    </row>
    <row r="83" spans="1:20">
      <c r="B83" s="85" t="s">
        <v>177</v>
      </c>
      <c r="C83" s="120"/>
      <c r="D83" s="121" t="s">
        <v>246</v>
      </c>
      <c r="E83" s="122">
        <v>1084467</v>
      </c>
      <c r="F83" s="252">
        <v>1084467</v>
      </c>
      <c r="G83" s="122"/>
      <c r="H83" s="123">
        <v>102</v>
      </c>
      <c r="I83" s="122"/>
      <c r="J83" s="46">
        <v>0</v>
      </c>
      <c r="K83" s="46"/>
      <c r="L83" s="139">
        <v>0</v>
      </c>
      <c r="M83" s="46"/>
      <c r="N83" s="46">
        <f t="shared" si="2"/>
        <v>0</v>
      </c>
      <c r="O83" s="46"/>
      <c r="P83" s="46">
        <v>110615634</v>
      </c>
      <c r="Q83" s="46"/>
      <c r="R83" s="46">
        <v>0</v>
      </c>
      <c r="S83" s="46"/>
      <c r="T83" s="46">
        <f t="shared" si="3"/>
        <v>110615634</v>
      </c>
    </row>
    <row r="84" spans="1:20">
      <c r="B84" s="85" t="s">
        <v>175</v>
      </c>
      <c r="C84" s="120"/>
      <c r="D84" s="121" t="s">
        <v>446</v>
      </c>
      <c r="E84" s="122">
        <v>121684</v>
      </c>
      <c r="F84" s="252">
        <v>121684</v>
      </c>
      <c r="G84" s="122"/>
      <c r="H84" s="123">
        <v>50</v>
      </c>
      <c r="I84" s="122"/>
      <c r="J84" s="46">
        <v>0</v>
      </c>
      <c r="K84" s="46"/>
      <c r="L84" s="139">
        <v>0</v>
      </c>
      <c r="M84" s="46"/>
      <c r="N84" s="46">
        <f t="shared" si="2"/>
        <v>0</v>
      </c>
      <c r="O84" s="46"/>
      <c r="P84" s="46">
        <v>6084200</v>
      </c>
      <c r="Q84" s="46"/>
      <c r="R84" s="46">
        <v>0</v>
      </c>
      <c r="S84" s="46"/>
      <c r="T84" s="46">
        <f t="shared" si="3"/>
        <v>6084200</v>
      </c>
    </row>
    <row r="85" spans="1:20">
      <c r="B85" s="85" t="s">
        <v>270</v>
      </c>
      <c r="C85" s="120"/>
      <c r="D85" s="121" t="s">
        <v>531</v>
      </c>
      <c r="E85" s="122">
        <v>1974707</v>
      </c>
      <c r="F85" s="252">
        <v>1974707</v>
      </c>
      <c r="G85" s="122"/>
      <c r="H85" s="123">
        <v>280</v>
      </c>
      <c r="I85" s="122"/>
      <c r="J85" s="46">
        <v>0</v>
      </c>
      <c r="K85" s="46"/>
      <c r="L85" s="139">
        <v>0</v>
      </c>
      <c r="M85" s="46"/>
      <c r="N85" s="46">
        <f t="shared" si="2"/>
        <v>0</v>
      </c>
      <c r="O85" s="46"/>
      <c r="P85" s="46">
        <v>552917960</v>
      </c>
      <c r="Q85" s="46"/>
      <c r="R85" s="46">
        <v>-61883762</v>
      </c>
      <c r="S85" s="46"/>
      <c r="T85" s="46">
        <f t="shared" si="3"/>
        <v>491034198</v>
      </c>
    </row>
    <row r="86" spans="1:20">
      <c r="B86" s="85" t="s">
        <v>148</v>
      </c>
      <c r="C86" s="120"/>
      <c r="D86" s="121" t="s">
        <v>236</v>
      </c>
      <c r="E86" s="122">
        <v>3802934</v>
      </c>
      <c r="F86" s="252">
        <v>3802934</v>
      </c>
      <c r="G86" s="122"/>
      <c r="H86" s="123">
        <v>600</v>
      </c>
      <c r="I86" s="122"/>
      <c r="J86" s="46">
        <v>0</v>
      </c>
      <c r="K86" s="46"/>
      <c r="L86" s="139">
        <v>0</v>
      </c>
      <c r="M86" s="46"/>
      <c r="N86" s="46">
        <f t="shared" si="2"/>
        <v>0</v>
      </c>
      <c r="O86" s="46"/>
      <c r="P86" s="46">
        <v>2281760400</v>
      </c>
      <c r="Q86" s="46"/>
      <c r="R86" s="46">
        <v>0</v>
      </c>
      <c r="S86" s="46"/>
      <c r="T86" s="46">
        <f t="shared" si="3"/>
        <v>2281760400</v>
      </c>
    </row>
    <row r="87" spans="1:20">
      <c r="B87" s="85" t="s">
        <v>151</v>
      </c>
      <c r="C87" s="120"/>
      <c r="D87" s="121" t="s">
        <v>254</v>
      </c>
      <c r="E87" s="122">
        <v>701575</v>
      </c>
      <c r="F87" s="252">
        <v>701575</v>
      </c>
      <c r="G87" s="122"/>
      <c r="H87" s="123">
        <v>2</v>
      </c>
      <c r="I87" s="122"/>
      <c r="J87" s="46">
        <v>0</v>
      </c>
      <c r="K87" s="46"/>
      <c r="L87" s="139">
        <v>0</v>
      </c>
      <c r="M87" s="46"/>
      <c r="N87" s="46">
        <f t="shared" si="2"/>
        <v>0</v>
      </c>
      <c r="O87" s="46"/>
      <c r="P87" s="46">
        <v>1403150</v>
      </c>
      <c r="Q87" s="46"/>
      <c r="R87" s="46">
        <v>0</v>
      </c>
      <c r="S87" s="46"/>
      <c r="T87" s="46">
        <f>P87+R87</f>
        <v>1403150</v>
      </c>
    </row>
    <row r="88" spans="1:20" ht="21.6" thickBot="1">
      <c r="B88" s="148" t="s">
        <v>2</v>
      </c>
      <c r="C88" s="120"/>
      <c r="D88" s="121"/>
      <c r="E88" s="122"/>
      <c r="F88" s="252"/>
      <c r="G88" s="122"/>
      <c r="H88" s="140"/>
      <c r="I88" s="122"/>
      <c r="J88" s="149">
        <f>SUM(J8:J87)</f>
        <v>6145097122</v>
      </c>
      <c r="K88" s="46"/>
      <c r="L88" s="149">
        <f>SUM(L8:L87)</f>
        <v>-847902164</v>
      </c>
      <c r="M88" s="46"/>
      <c r="N88" s="149">
        <f>SUM(N8:N87)</f>
        <v>5297194958</v>
      </c>
      <c r="O88" s="46"/>
      <c r="P88" s="149">
        <f>SUM(P8:P87)</f>
        <v>68466072675</v>
      </c>
      <c r="Q88" s="46"/>
      <c r="R88" s="149">
        <f>SUM(R8:R87)</f>
        <v>-1005702852</v>
      </c>
      <c r="S88" s="46"/>
      <c r="T88" s="149">
        <f>SUM(T8:T87)</f>
        <v>67460369823</v>
      </c>
    </row>
    <row r="89" spans="1:20" ht="21.6" thickTop="1">
      <c r="B89" s="85"/>
      <c r="C89" s="120"/>
      <c r="D89" s="121"/>
      <c r="E89" s="122"/>
      <c r="F89" s="252"/>
      <c r="G89" s="122"/>
      <c r="H89" s="140"/>
      <c r="I89" s="122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39"/>
    </row>
    <row r="90" spans="1:20">
      <c r="J90" s="122">
        <v>0</v>
      </c>
      <c r="L90" s="122"/>
      <c r="N90" s="122"/>
      <c r="P90" s="256">
        <v>0</v>
      </c>
      <c r="R90" s="122"/>
      <c r="T90" s="122"/>
    </row>
    <row r="91" spans="1:20" ht="16.5" customHeight="1">
      <c r="J91" s="257"/>
      <c r="L91" s="208"/>
      <c r="P91" s="208"/>
      <c r="T91" s="208">
        <v>0</v>
      </c>
    </row>
    <row r="92" spans="1:20" s="46" customFormat="1">
      <c r="A92" s="53"/>
      <c r="J92" s="156">
        <v>0</v>
      </c>
      <c r="P92" s="156">
        <v>0</v>
      </c>
      <c r="T92" s="156"/>
    </row>
    <row r="93" spans="1:20" s="46" customFormat="1">
      <c r="A93" s="53"/>
      <c r="C93" s="53"/>
      <c r="E93" s="53"/>
      <c r="G93" s="53"/>
      <c r="I93" s="53"/>
      <c r="J93" s="156"/>
      <c r="K93" s="53"/>
      <c r="M93" s="53"/>
      <c r="O93" s="53"/>
      <c r="Q93" s="53"/>
      <c r="S93" s="53"/>
    </row>
    <row r="94" spans="1:20" s="46" customFormat="1" ht="24.6">
      <c r="A94" s="53"/>
      <c r="P94" s="82"/>
      <c r="R94" s="82"/>
      <c r="T94" s="82"/>
    </row>
    <row r="95" spans="1:20" s="46" customFormat="1">
      <c r="A95" s="53">
        <v>1</v>
      </c>
      <c r="C95" s="53"/>
      <c r="E95" s="53"/>
      <c r="G95" s="53"/>
      <c r="I95" s="53"/>
      <c r="K95" s="53"/>
      <c r="M95" s="53"/>
      <c r="O95" s="53"/>
      <c r="Q95" s="53"/>
      <c r="S95" s="53"/>
    </row>
    <row r="96" spans="1:20" s="46" customFormat="1">
      <c r="A96" s="53"/>
    </row>
    <row r="97" spans="1:16" s="46" customFormat="1">
      <c r="A97" s="53"/>
    </row>
    <row r="98" spans="1:16" s="46" customFormat="1">
      <c r="A98" s="53"/>
    </row>
    <row r="99" spans="1:16" s="46" customFormat="1">
      <c r="A99" s="53"/>
    </row>
    <row r="100" spans="1:16" s="46" customFormat="1">
      <c r="A100" s="53"/>
    </row>
    <row r="101" spans="1:16">
      <c r="P101" s="70"/>
    </row>
  </sheetData>
  <autoFilter ref="A7:U7" xr:uid="{00000000-0009-0000-0000-000006000000}">
    <sortState xmlns:xlrd2="http://schemas.microsoft.com/office/spreadsheetml/2017/richdata2" ref="A8:T88">
      <sortCondition ref="B7"/>
    </sortState>
  </autoFilter>
  <mergeCells count="9">
    <mergeCell ref="D6:H6"/>
    <mergeCell ref="J6:N6"/>
    <mergeCell ref="P6:T6"/>
    <mergeCell ref="B1:T1"/>
    <mergeCell ref="B2:T2"/>
    <mergeCell ref="B4:I4"/>
    <mergeCell ref="J4:Q4"/>
    <mergeCell ref="R4:T4"/>
    <mergeCell ref="B3:T3"/>
  </mergeCells>
  <pageMargins left="0.7" right="0.7" top="0.75" bottom="0.75" header="0.3" footer="0.3"/>
  <pageSetup scale="5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XFC233"/>
  <sheetViews>
    <sheetView rightToLeft="1" view="pageBreakPreview" zoomScale="60" zoomScaleNormal="100" workbookViewId="0">
      <selection activeCell="Q37" sqref="Q37"/>
    </sheetView>
  </sheetViews>
  <sheetFormatPr defaultColWidth="9.109375" defaultRowHeight="21"/>
  <cols>
    <col min="1" max="1" width="2.33203125" style="68" customWidth="1"/>
    <col min="2" max="2" width="11.5546875" style="53" hidden="1" customWidth="1"/>
    <col min="3" max="3" width="36" style="68" bestFit="1" customWidth="1"/>
    <col min="4" max="4" width="1.33203125" style="68" customWidth="1"/>
    <col min="5" max="5" width="11.33203125" style="68" bestFit="1" customWidth="1"/>
    <col min="6" max="6" width="0.88671875" style="68" customWidth="1"/>
    <col min="7" max="7" width="18.109375" style="80" bestFit="1" customWidth="1"/>
    <col min="8" max="8" width="0.5546875" style="80" customWidth="1"/>
    <col min="9" max="9" width="18.88671875" style="80" bestFit="1" customWidth="1"/>
    <col min="10" max="10" width="0.88671875" style="80" customWidth="1"/>
    <col min="11" max="11" width="18.44140625" style="81" bestFit="1" customWidth="1"/>
    <col min="12" max="12" width="0.5546875" style="81" customWidth="1"/>
    <col min="13" max="13" width="11.33203125" style="81" bestFit="1" customWidth="1"/>
    <col min="14" max="14" width="0.44140625" style="81" customWidth="1"/>
    <col min="15" max="15" width="17.88671875" style="81" bestFit="1" customWidth="1"/>
    <col min="16" max="16" width="0.44140625" style="81" customWidth="1"/>
    <col min="17" max="17" width="18.44140625" style="81" bestFit="1" customWidth="1"/>
    <col min="18" max="18" width="0.5546875" style="81" customWidth="1"/>
    <col min="19" max="19" width="23.6640625" style="81" bestFit="1" customWidth="1"/>
    <col min="20" max="20" width="10.6640625" style="68" customWidth="1"/>
    <col min="21" max="21" width="6.5546875" style="68" bestFit="1" customWidth="1"/>
    <col min="22" max="16384" width="9.109375" style="68"/>
  </cols>
  <sheetData>
    <row r="1" spans="2:21" ht="21.6">
      <c r="C1" s="311" t="s">
        <v>84</v>
      </c>
      <c r="D1" s="311"/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</row>
    <row r="2" spans="2:21" ht="21.6">
      <c r="C2" s="311" t="s">
        <v>53</v>
      </c>
      <c r="D2" s="311"/>
      <c r="E2" s="311"/>
      <c r="F2" s="311"/>
      <c r="G2" s="311"/>
      <c r="H2" s="311"/>
      <c r="I2" s="311"/>
      <c r="J2" s="311"/>
      <c r="K2" s="311"/>
      <c r="L2" s="311"/>
      <c r="M2" s="311"/>
      <c r="N2" s="311"/>
      <c r="O2" s="311"/>
      <c r="P2" s="311"/>
      <c r="Q2" s="311"/>
      <c r="R2" s="311"/>
      <c r="S2" s="311"/>
    </row>
    <row r="3" spans="2:21" ht="21.6">
      <c r="C3" s="311" t="str">
        <f>' سهام'!A3</f>
        <v>برای ماه منتهی به 1401/10/30</v>
      </c>
      <c r="D3" s="311"/>
      <c r="E3" s="311"/>
      <c r="F3" s="311"/>
      <c r="G3" s="311"/>
      <c r="H3" s="311"/>
      <c r="I3" s="311"/>
      <c r="J3" s="311"/>
      <c r="K3" s="311"/>
      <c r="L3" s="311"/>
      <c r="M3" s="311"/>
      <c r="N3" s="311"/>
      <c r="O3" s="311"/>
      <c r="P3" s="311"/>
      <c r="Q3" s="311"/>
      <c r="R3" s="311"/>
      <c r="S3" s="311"/>
    </row>
    <row r="4" spans="2:21" ht="21.6"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</row>
    <row r="5" spans="2:21" ht="21.6">
      <c r="C5" s="130" t="s">
        <v>85</v>
      </c>
      <c r="D5" s="130"/>
      <c r="E5" s="130"/>
      <c r="F5" s="130"/>
      <c r="G5" s="130"/>
      <c r="H5" s="130"/>
      <c r="I5" s="130"/>
      <c r="J5" s="130"/>
      <c r="K5" s="130"/>
      <c r="L5" s="131"/>
      <c r="M5" s="131"/>
      <c r="N5" s="131"/>
      <c r="O5" s="131"/>
      <c r="P5" s="131"/>
      <c r="Q5" s="131"/>
      <c r="R5" s="131"/>
      <c r="S5" s="131"/>
    </row>
    <row r="6" spans="2:21" ht="15.75" customHeight="1" thickBot="1">
      <c r="C6" s="4"/>
      <c r="D6" s="4"/>
      <c r="E6" s="318" t="str">
        <f>'سود اوراق بهادار و سپرده بانکی'!G5</f>
        <v>طی دی ماه</v>
      </c>
      <c r="F6" s="318"/>
      <c r="G6" s="318"/>
      <c r="H6" s="318"/>
      <c r="I6" s="318"/>
      <c r="J6" s="318"/>
      <c r="K6" s="318"/>
      <c r="L6" s="2"/>
      <c r="M6" s="317" t="str">
        <f>'سود اوراق بهادار و سپرده بانکی'!$M$5</f>
        <v>از ابتدای سال مالی تا پایان دی ماه</v>
      </c>
      <c r="N6" s="317"/>
      <c r="O6" s="317"/>
      <c r="P6" s="317"/>
      <c r="Q6" s="317"/>
      <c r="R6" s="317"/>
      <c r="S6" s="317"/>
    </row>
    <row r="7" spans="2:21" ht="42.6" thickBot="1">
      <c r="C7" s="71" t="s">
        <v>37</v>
      </c>
      <c r="D7" s="71"/>
      <c r="E7" s="124" t="s">
        <v>3</v>
      </c>
      <c r="F7" s="71"/>
      <c r="G7" s="125" t="s">
        <v>470</v>
      </c>
      <c r="H7" s="72"/>
      <c r="I7" s="133" t="s">
        <v>41</v>
      </c>
      <c r="J7" s="72"/>
      <c r="K7" s="109" t="s">
        <v>468</v>
      </c>
      <c r="L7" s="2"/>
      <c r="M7" s="110" t="s">
        <v>3</v>
      </c>
      <c r="N7" s="73"/>
      <c r="O7" s="109" t="s">
        <v>469</v>
      </c>
      <c r="P7" s="73"/>
      <c r="Q7" s="110" t="s">
        <v>41</v>
      </c>
      <c r="R7" s="73"/>
      <c r="S7" s="109" t="s">
        <v>468</v>
      </c>
    </row>
    <row r="8" spans="2:21">
      <c r="B8" s="53" t="s">
        <v>439</v>
      </c>
      <c r="C8" s="74" t="s">
        <v>133</v>
      </c>
      <c r="D8" s="75"/>
      <c r="E8" s="76">
        <v>17364</v>
      </c>
      <c r="F8" s="75"/>
      <c r="G8" s="76">
        <v>75638682</v>
      </c>
      <c r="H8" s="53"/>
      <c r="I8" s="76">
        <v>-67345877</v>
      </c>
      <c r="J8" s="75"/>
      <c r="K8" s="76">
        <f>I8+G8</f>
        <v>8292805</v>
      </c>
      <c r="L8" s="76"/>
      <c r="M8" s="53">
        <v>266193</v>
      </c>
      <c r="N8" s="76"/>
      <c r="O8" s="76">
        <v>1041066776</v>
      </c>
      <c r="P8" s="75"/>
      <c r="Q8" s="76">
        <v>-1031513081</v>
      </c>
      <c r="R8" s="76"/>
      <c r="S8" s="76">
        <f t="shared" ref="S8" si="0">O8+Q8</f>
        <v>9553695</v>
      </c>
      <c r="T8" s="70"/>
      <c r="U8" s="111"/>
    </row>
    <row r="9" spans="2:21">
      <c r="B9" s="53" t="s">
        <v>438</v>
      </c>
      <c r="C9" s="74" t="s">
        <v>139</v>
      </c>
      <c r="D9" s="75"/>
      <c r="E9" s="76">
        <v>16503</v>
      </c>
      <c r="F9" s="75"/>
      <c r="G9" s="76">
        <v>117541265</v>
      </c>
      <c r="H9" s="53"/>
      <c r="I9" s="76">
        <v>-98543340</v>
      </c>
      <c r="J9" s="75"/>
      <c r="K9" s="76">
        <f t="shared" ref="K9:K72" si="1">I9+G9</f>
        <v>18997925</v>
      </c>
      <c r="L9" s="76"/>
      <c r="M9" s="53">
        <v>272662</v>
      </c>
      <c r="N9" s="76"/>
      <c r="O9" s="76">
        <v>1715225096</v>
      </c>
      <c r="P9" s="75"/>
      <c r="Q9" s="76">
        <v>-1625123044</v>
      </c>
      <c r="R9" s="76"/>
      <c r="S9" s="76">
        <f t="shared" ref="S9:S39" si="2">O9+Q9</f>
        <v>90102052</v>
      </c>
      <c r="T9" s="70"/>
      <c r="U9" s="111"/>
    </row>
    <row r="10" spans="2:21">
      <c r="B10" s="53" t="s">
        <v>513</v>
      </c>
      <c r="C10" s="74" t="s">
        <v>494</v>
      </c>
      <c r="D10" s="75"/>
      <c r="E10" s="76">
        <v>7268</v>
      </c>
      <c r="F10" s="75"/>
      <c r="G10" s="76">
        <v>169792723</v>
      </c>
      <c r="H10" s="53"/>
      <c r="I10" s="76">
        <v>-162945263</v>
      </c>
      <c r="J10" s="75"/>
      <c r="K10" s="76">
        <f t="shared" si="1"/>
        <v>6847460</v>
      </c>
      <c r="L10" s="76"/>
      <c r="M10" s="53">
        <v>66164</v>
      </c>
      <c r="N10" s="76"/>
      <c r="O10" s="76">
        <v>1567775222</v>
      </c>
      <c r="P10" s="75"/>
      <c r="Q10" s="76">
        <v>-1442898643</v>
      </c>
      <c r="R10" s="76"/>
      <c r="S10" s="76">
        <f t="shared" si="2"/>
        <v>124876579</v>
      </c>
      <c r="T10" s="70"/>
      <c r="U10" s="111"/>
    </row>
    <row r="11" spans="2:21">
      <c r="B11" s="53" t="s">
        <v>437</v>
      </c>
      <c r="C11" s="74" t="s">
        <v>151</v>
      </c>
      <c r="D11" s="75"/>
      <c r="E11" s="76">
        <v>12023</v>
      </c>
      <c r="F11" s="75"/>
      <c r="G11" s="76">
        <v>103910274</v>
      </c>
      <c r="H11" s="53"/>
      <c r="I11" s="76">
        <v>-141144692</v>
      </c>
      <c r="J11" s="75"/>
      <c r="K11" s="76">
        <f t="shared" si="1"/>
        <v>-37234418</v>
      </c>
      <c r="L11" s="76"/>
      <c r="M11" s="53">
        <v>186805</v>
      </c>
      <c r="N11" s="76"/>
      <c r="O11" s="76">
        <v>1651080135</v>
      </c>
      <c r="P11" s="75"/>
      <c r="Q11" s="76">
        <v>-2230012925</v>
      </c>
      <c r="R11" s="76"/>
      <c r="S11" s="76">
        <f t="shared" si="2"/>
        <v>-578932790</v>
      </c>
      <c r="T11" s="70"/>
      <c r="U11" s="111"/>
    </row>
    <row r="12" spans="2:21">
      <c r="B12" s="53" t="s">
        <v>436</v>
      </c>
      <c r="C12" s="74" t="s">
        <v>167</v>
      </c>
      <c r="D12" s="75"/>
      <c r="E12" s="76">
        <v>24790</v>
      </c>
      <c r="F12" s="75"/>
      <c r="G12" s="76">
        <v>90031127</v>
      </c>
      <c r="H12" s="53"/>
      <c r="I12" s="76">
        <v>-90286752</v>
      </c>
      <c r="J12" s="75"/>
      <c r="K12" s="76">
        <f t="shared" si="1"/>
        <v>-255625</v>
      </c>
      <c r="L12" s="76"/>
      <c r="M12" s="53">
        <v>1046527</v>
      </c>
      <c r="N12" s="76"/>
      <c r="O12" s="76">
        <v>3665394220</v>
      </c>
      <c r="P12" s="75"/>
      <c r="Q12" s="76">
        <v>-3833341825</v>
      </c>
      <c r="R12" s="76"/>
      <c r="S12" s="76">
        <f t="shared" si="2"/>
        <v>-167947605</v>
      </c>
      <c r="T12" s="70"/>
      <c r="U12" s="111"/>
    </row>
    <row r="13" spans="2:21">
      <c r="B13" s="53" t="s">
        <v>435</v>
      </c>
      <c r="C13" s="74" t="s">
        <v>112</v>
      </c>
      <c r="D13" s="75"/>
      <c r="E13" s="76">
        <v>12248</v>
      </c>
      <c r="F13" s="75"/>
      <c r="G13" s="76">
        <v>169343087</v>
      </c>
      <c r="H13" s="53"/>
      <c r="I13" s="76">
        <v>-229545353</v>
      </c>
      <c r="J13" s="75"/>
      <c r="K13" s="76">
        <f t="shared" si="1"/>
        <v>-60202266</v>
      </c>
      <c r="L13" s="76"/>
      <c r="M13" s="53">
        <v>192860</v>
      </c>
      <c r="N13" s="76"/>
      <c r="O13" s="76">
        <v>2847424934</v>
      </c>
      <c r="P13" s="75"/>
      <c r="Q13" s="76">
        <v>-3929488021</v>
      </c>
      <c r="R13" s="76"/>
      <c r="S13" s="76">
        <f t="shared" si="2"/>
        <v>-1082063087</v>
      </c>
      <c r="T13" s="70"/>
      <c r="U13" s="111"/>
    </row>
    <row r="14" spans="2:21">
      <c r="B14" s="53" t="s">
        <v>434</v>
      </c>
      <c r="C14" s="74" t="s">
        <v>148</v>
      </c>
      <c r="D14" s="75"/>
      <c r="E14" s="76">
        <v>48182</v>
      </c>
      <c r="F14" s="75"/>
      <c r="G14" s="76">
        <v>195544817</v>
      </c>
      <c r="H14" s="53"/>
      <c r="I14" s="76">
        <v>-161231672</v>
      </c>
      <c r="J14" s="75"/>
      <c r="K14" s="76">
        <f t="shared" si="1"/>
        <v>34313145</v>
      </c>
      <c r="L14" s="76"/>
      <c r="M14" s="53">
        <v>902122</v>
      </c>
      <c r="N14" s="76"/>
      <c r="O14" s="76">
        <v>3260781997</v>
      </c>
      <c r="P14" s="75"/>
      <c r="Q14" s="76">
        <v>-3019519748</v>
      </c>
      <c r="R14" s="76"/>
      <c r="S14" s="76">
        <f t="shared" si="2"/>
        <v>241262249</v>
      </c>
      <c r="T14" s="70"/>
      <c r="U14" s="111"/>
    </row>
    <row r="15" spans="2:21">
      <c r="B15" s="53" t="s">
        <v>512</v>
      </c>
      <c r="C15" s="74" t="s">
        <v>493</v>
      </c>
      <c r="D15" s="75"/>
      <c r="E15" s="76">
        <v>3768</v>
      </c>
      <c r="F15" s="75"/>
      <c r="G15" s="76">
        <v>71120649</v>
      </c>
      <c r="H15" s="53"/>
      <c r="I15" s="76">
        <v>-60798633</v>
      </c>
      <c r="J15" s="75"/>
      <c r="K15" s="76">
        <f t="shared" si="1"/>
        <v>10322016</v>
      </c>
      <c r="L15" s="76"/>
      <c r="M15" s="53">
        <v>50683</v>
      </c>
      <c r="N15" s="76"/>
      <c r="O15" s="76">
        <v>885774223</v>
      </c>
      <c r="P15" s="75"/>
      <c r="Q15" s="76">
        <v>-817824255</v>
      </c>
      <c r="R15" s="76"/>
      <c r="S15" s="76">
        <f t="shared" si="2"/>
        <v>67949968</v>
      </c>
      <c r="T15" s="70"/>
      <c r="U15" s="111"/>
    </row>
    <row r="16" spans="2:21">
      <c r="B16" s="53" t="s">
        <v>433</v>
      </c>
      <c r="C16" s="74" t="s">
        <v>270</v>
      </c>
      <c r="D16" s="75"/>
      <c r="E16" s="76">
        <v>24861</v>
      </c>
      <c r="F16" s="75"/>
      <c r="G16" s="76">
        <v>66663929</v>
      </c>
      <c r="H16" s="53"/>
      <c r="I16" s="76">
        <v>-72896945</v>
      </c>
      <c r="J16" s="75"/>
      <c r="K16" s="76">
        <f t="shared" si="1"/>
        <v>-6233016</v>
      </c>
      <c r="L16" s="76"/>
      <c r="M16" s="53">
        <v>300645</v>
      </c>
      <c r="N16" s="76"/>
      <c r="O16" s="76">
        <v>789395212</v>
      </c>
      <c r="P16" s="75"/>
      <c r="Q16" s="76">
        <v>-883382911</v>
      </c>
      <c r="R16" s="76"/>
      <c r="S16" s="76">
        <f t="shared" si="2"/>
        <v>-93987699</v>
      </c>
      <c r="T16" s="70"/>
      <c r="U16" s="111"/>
    </row>
    <row r="17" spans="2:21">
      <c r="B17" s="53" t="s">
        <v>432</v>
      </c>
      <c r="C17" s="74" t="s">
        <v>171</v>
      </c>
      <c r="D17" s="75"/>
      <c r="E17" s="76">
        <v>48201</v>
      </c>
      <c r="F17" s="75"/>
      <c r="G17" s="76">
        <v>305859322</v>
      </c>
      <c r="H17" s="53"/>
      <c r="I17" s="76">
        <v>-203296533</v>
      </c>
      <c r="J17" s="75"/>
      <c r="K17" s="76">
        <f t="shared" si="1"/>
        <v>102562789</v>
      </c>
      <c r="L17" s="76"/>
      <c r="M17" s="53">
        <v>1280578</v>
      </c>
      <c r="N17" s="76"/>
      <c r="O17" s="76">
        <v>6072586320</v>
      </c>
      <c r="P17" s="75"/>
      <c r="Q17" s="76">
        <v>-5380307213</v>
      </c>
      <c r="R17" s="76"/>
      <c r="S17" s="76">
        <f t="shared" si="2"/>
        <v>692279107</v>
      </c>
      <c r="T17" s="70"/>
      <c r="U17" s="111"/>
    </row>
    <row r="18" spans="2:21">
      <c r="B18" s="53" t="s">
        <v>431</v>
      </c>
      <c r="C18" s="74" t="s">
        <v>120</v>
      </c>
      <c r="D18" s="75"/>
      <c r="E18" s="76">
        <v>5141</v>
      </c>
      <c r="F18" s="75"/>
      <c r="G18" s="76">
        <v>171801627</v>
      </c>
      <c r="H18" s="53"/>
      <c r="I18" s="76">
        <v>-170944405</v>
      </c>
      <c r="J18" s="75"/>
      <c r="K18" s="76">
        <f t="shared" si="1"/>
        <v>857222</v>
      </c>
      <c r="L18" s="76"/>
      <c r="M18" s="53">
        <v>129220</v>
      </c>
      <c r="N18" s="76"/>
      <c r="O18" s="76">
        <v>4335804445</v>
      </c>
      <c r="P18" s="75"/>
      <c r="Q18" s="76">
        <v>-4311429470</v>
      </c>
      <c r="R18" s="76"/>
      <c r="S18" s="76">
        <f t="shared" si="2"/>
        <v>24374975</v>
      </c>
      <c r="T18" s="70"/>
      <c r="U18" s="111"/>
    </row>
    <row r="19" spans="2:21">
      <c r="B19" s="53" t="s">
        <v>430</v>
      </c>
      <c r="C19" s="74" t="s">
        <v>175</v>
      </c>
      <c r="D19" s="75"/>
      <c r="E19" s="76">
        <v>1578</v>
      </c>
      <c r="F19" s="75"/>
      <c r="G19" s="76">
        <v>52142973</v>
      </c>
      <c r="H19" s="53"/>
      <c r="I19" s="76">
        <v>-53387610</v>
      </c>
      <c r="J19" s="75"/>
      <c r="K19" s="76">
        <f t="shared" si="1"/>
        <v>-1244637</v>
      </c>
      <c r="L19" s="76"/>
      <c r="M19" s="53">
        <v>50358</v>
      </c>
      <c r="N19" s="76"/>
      <c r="O19" s="76">
        <v>1702558045</v>
      </c>
      <c r="P19" s="75"/>
      <c r="Q19" s="76">
        <v>-1698863035</v>
      </c>
      <c r="R19" s="76"/>
      <c r="S19" s="76">
        <f t="shared" si="2"/>
        <v>3695010</v>
      </c>
      <c r="T19" s="70"/>
      <c r="U19" s="111"/>
    </row>
    <row r="20" spans="2:21">
      <c r="B20" s="53" t="s">
        <v>429</v>
      </c>
      <c r="C20" s="74" t="s">
        <v>177</v>
      </c>
      <c r="D20" s="75"/>
      <c r="E20" s="76">
        <v>11951</v>
      </c>
      <c r="F20" s="75"/>
      <c r="G20" s="76">
        <v>85750301</v>
      </c>
      <c r="H20" s="53"/>
      <c r="I20" s="76">
        <v>-73861539</v>
      </c>
      <c r="J20" s="75"/>
      <c r="K20" s="76">
        <f t="shared" si="1"/>
        <v>11888762</v>
      </c>
      <c r="L20" s="76"/>
      <c r="M20" s="53">
        <v>194451</v>
      </c>
      <c r="N20" s="76"/>
      <c r="O20" s="76">
        <v>2172836359</v>
      </c>
      <c r="P20" s="75"/>
      <c r="Q20" s="76">
        <v>-2214659548</v>
      </c>
      <c r="R20" s="76"/>
      <c r="S20" s="76">
        <f t="shared" si="2"/>
        <v>-41823189</v>
      </c>
      <c r="T20" s="70"/>
      <c r="U20" s="111"/>
    </row>
    <row r="21" spans="2:21">
      <c r="B21" s="53" t="s">
        <v>428</v>
      </c>
      <c r="C21" s="74" t="s">
        <v>206</v>
      </c>
      <c r="D21" s="75"/>
      <c r="E21" s="76">
        <v>19614</v>
      </c>
      <c r="F21" s="75"/>
      <c r="G21" s="76">
        <v>140077586</v>
      </c>
      <c r="H21" s="53"/>
      <c r="I21" s="76">
        <v>-131740808</v>
      </c>
      <c r="J21" s="75"/>
      <c r="K21" s="76">
        <f t="shared" si="1"/>
        <v>8336778</v>
      </c>
      <c r="L21" s="76"/>
      <c r="M21" s="53">
        <v>469187</v>
      </c>
      <c r="N21" s="76"/>
      <c r="O21" s="76">
        <v>2946687398</v>
      </c>
      <c r="P21" s="75"/>
      <c r="Q21" s="76">
        <v>-3233168788</v>
      </c>
      <c r="R21" s="76"/>
      <c r="S21" s="76">
        <f t="shared" si="2"/>
        <v>-286481390</v>
      </c>
      <c r="T21" s="70"/>
      <c r="U21" s="111"/>
    </row>
    <row r="22" spans="2:21">
      <c r="B22" s="53" t="s">
        <v>427</v>
      </c>
      <c r="C22" s="74" t="s">
        <v>95</v>
      </c>
      <c r="D22" s="75"/>
      <c r="E22" s="76">
        <v>15913</v>
      </c>
      <c r="F22" s="75"/>
      <c r="G22" s="76">
        <v>166128592</v>
      </c>
      <c r="H22" s="53"/>
      <c r="I22" s="76">
        <v>-172634254</v>
      </c>
      <c r="J22" s="75"/>
      <c r="K22" s="76">
        <f t="shared" si="1"/>
        <v>-6505662</v>
      </c>
      <c r="L22" s="76"/>
      <c r="M22" s="53">
        <v>484109</v>
      </c>
      <c r="N22" s="76"/>
      <c r="O22" s="76">
        <v>4556799185</v>
      </c>
      <c r="P22" s="75"/>
      <c r="Q22" s="76">
        <v>-5255132772</v>
      </c>
      <c r="R22" s="76"/>
      <c r="S22" s="76">
        <f t="shared" si="2"/>
        <v>-698333587</v>
      </c>
      <c r="T22" s="70"/>
      <c r="U22" s="111"/>
    </row>
    <row r="23" spans="2:21">
      <c r="B23" s="53" t="s">
        <v>426</v>
      </c>
      <c r="C23" s="74" t="s">
        <v>194</v>
      </c>
      <c r="D23" s="75"/>
      <c r="E23" s="76">
        <v>3557</v>
      </c>
      <c r="F23" s="75"/>
      <c r="G23" s="76">
        <v>103591658</v>
      </c>
      <c r="H23" s="53"/>
      <c r="I23" s="76">
        <v>-93497879</v>
      </c>
      <c r="J23" s="75"/>
      <c r="K23" s="76">
        <f t="shared" si="1"/>
        <v>10093779</v>
      </c>
      <c r="L23" s="76"/>
      <c r="M23" s="53">
        <v>98035</v>
      </c>
      <c r="N23" s="76"/>
      <c r="O23" s="76">
        <v>2730208400</v>
      </c>
      <c r="P23" s="75"/>
      <c r="Q23" s="76">
        <v>-2580090627</v>
      </c>
      <c r="R23" s="76"/>
      <c r="S23" s="76">
        <f t="shared" si="2"/>
        <v>150117773</v>
      </c>
      <c r="T23" s="70"/>
      <c r="U23" s="111"/>
    </row>
    <row r="24" spans="2:21">
      <c r="B24" s="53" t="s">
        <v>425</v>
      </c>
      <c r="C24" s="74" t="s">
        <v>96</v>
      </c>
      <c r="D24" s="75"/>
      <c r="E24" s="76">
        <v>5853</v>
      </c>
      <c r="F24" s="75"/>
      <c r="G24" s="76">
        <v>84684032</v>
      </c>
      <c r="H24" s="53"/>
      <c r="I24" s="76">
        <v>-91860591</v>
      </c>
      <c r="J24" s="75"/>
      <c r="K24" s="76">
        <f t="shared" si="1"/>
        <v>-7176559</v>
      </c>
      <c r="L24" s="76"/>
      <c r="M24" s="53">
        <v>99839</v>
      </c>
      <c r="N24" s="76"/>
      <c r="O24" s="76">
        <v>1421412703</v>
      </c>
      <c r="P24" s="75"/>
      <c r="Q24" s="76">
        <v>-1589110308</v>
      </c>
      <c r="R24" s="76"/>
      <c r="S24" s="76">
        <f t="shared" si="2"/>
        <v>-167697605</v>
      </c>
      <c r="T24" s="70"/>
      <c r="U24" s="111"/>
    </row>
    <row r="25" spans="2:21">
      <c r="B25" s="53" t="s">
        <v>424</v>
      </c>
      <c r="C25" s="74" t="s">
        <v>190</v>
      </c>
      <c r="D25" s="75"/>
      <c r="E25" s="76">
        <v>18104</v>
      </c>
      <c r="F25" s="75"/>
      <c r="G25" s="76">
        <v>553587875</v>
      </c>
      <c r="H25" s="53"/>
      <c r="I25" s="76">
        <v>-566455471</v>
      </c>
      <c r="J25" s="75"/>
      <c r="K25" s="76">
        <f t="shared" si="1"/>
        <v>-12867596</v>
      </c>
      <c r="L25" s="76"/>
      <c r="M25" s="53">
        <v>312372</v>
      </c>
      <c r="N25" s="76"/>
      <c r="O25" s="76">
        <v>8709239655</v>
      </c>
      <c r="P25" s="75"/>
      <c r="Q25" s="76">
        <v>-9800727287</v>
      </c>
      <c r="R25" s="76"/>
      <c r="S25" s="76">
        <f t="shared" si="2"/>
        <v>-1091487632</v>
      </c>
      <c r="T25" s="70"/>
      <c r="U25" s="111"/>
    </row>
    <row r="26" spans="2:21">
      <c r="B26" s="53" t="s">
        <v>423</v>
      </c>
      <c r="C26" s="74" t="s">
        <v>131</v>
      </c>
      <c r="D26" s="75"/>
      <c r="E26" s="76">
        <v>55972</v>
      </c>
      <c r="F26" s="75"/>
      <c r="G26" s="76">
        <v>78778257</v>
      </c>
      <c r="H26" s="53"/>
      <c r="I26" s="76">
        <v>-77559875</v>
      </c>
      <c r="J26" s="75"/>
      <c r="K26" s="76">
        <f t="shared" si="1"/>
        <v>1218382</v>
      </c>
      <c r="L26" s="76"/>
      <c r="M26" s="53">
        <v>2332973</v>
      </c>
      <c r="N26" s="76"/>
      <c r="O26" s="76">
        <v>3084523073</v>
      </c>
      <c r="P26" s="75"/>
      <c r="Q26" s="76">
        <v>-3193800728</v>
      </c>
      <c r="R26" s="76"/>
      <c r="S26" s="76">
        <f t="shared" si="2"/>
        <v>-109277655</v>
      </c>
      <c r="T26" s="70"/>
      <c r="U26" s="111"/>
    </row>
    <row r="27" spans="2:21">
      <c r="B27" s="53" t="s">
        <v>422</v>
      </c>
      <c r="C27" s="74" t="s">
        <v>136</v>
      </c>
      <c r="D27" s="75"/>
      <c r="E27" s="76"/>
      <c r="F27" s="75"/>
      <c r="G27" s="76"/>
      <c r="H27" s="53"/>
      <c r="I27" s="76"/>
      <c r="J27" s="75"/>
      <c r="K27" s="76">
        <f t="shared" si="1"/>
        <v>0</v>
      </c>
      <c r="L27" s="76"/>
      <c r="M27" s="53">
        <v>54608</v>
      </c>
      <c r="N27" s="76"/>
      <c r="O27" s="76">
        <v>138944548</v>
      </c>
      <c r="P27" s="75"/>
      <c r="Q27" s="76">
        <v>-135411040</v>
      </c>
      <c r="R27" s="76"/>
      <c r="S27" s="76">
        <f t="shared" si="2"/>
        <v>3533508</v>
      </c>
      <c r="T27" s="70"/>
      <c r="U27" s="111"/>
    </row>
    <row r="28" spans="2:21">
      <c r="B28" s="53" t="s">
        <v>421</v>
      </c>
      <c r="C28" s="74" t="s">
        <v>154</v>
      </c>
      <c r="D28" s="75"/>
      <c r="E28" s="76">
        <v>4014</v>
      </c>
      <c r="F28" s="75"/>
      <c r="G28" s="76">
        <v>35033390</v>
      </c>
      <c r="H28" s="53"/>
      <c r="I28" s="76">
        <v>-28305513</v>
      </c>
      <c r="J28" s="75"/>
      <c r="K28" s="76">
        <f t="shared" si="1"/>
        <v>6727877</v>
      </c>
      <c r="L28" s="76"/>
      <c r="M28" s="53">
        <v>437810</v>
      </c>
      <c r="N28" s="76"/>
      <c r="O28" s="76">
        <v>3635592454</v>
      </c>
      <c r="P28" s="75"/>
      <c r="Q28" s="76">
        <v>-2906965837</v>
      </c>
      <c r="R28" s="76"/>
      <c r="S28" s="76">
        <f t="shared" si="2"/>
        <v>728626617</v>
      </c>
      <c r="T28" s="70"/>
      <c r="U28" s="111"/>
    </row>
    <row r="29" spans="2:21">
      <c r="B29" s="53" t="s">
        <v>420</v>
      </c>
      <c r="C29" s="74" t="s">
        <v>97</v>
      </c>
      <c r="D29" s="75"/>
      <c r="E29" s="76">
        <v>40001</v>
      </c>
      <c r="F29" s="75"/>
      <c r="G29" s="76">
        <v>155321603</v>
      </c>
      <c r="H29" s="53"/>
      <c r="I29" s="76">
        <v>-118460376</v>
      </c>
      <c r="J29" s="75"/>
      <c r="K29" s="76">
        <f t="shared" si="1"/>
        <v>36861227</v>
      </c>
      <c r="L29" s="76"/>
      <c r="M29" s="53">
        <v>670612</v>
      </c>
      <c r="N29" s="76"/>
      <c r="O29" s="76">
        <v>2138006071</v>
      </c>
      <c r="P29" s="75"/>
      <c r="Q29" s="76">
        <v>-1986648411</v>
      </c>
      <c r="R29" s="76"/>
      <c r="S29" s="76">
        <f t="shared" si="2"/>
        <v>151357660</v>
      </c>
      <c r="T29" s="70"/>
      <c r="U29" s="111"/>
    </row>
    <row r="30" spans="2:21">
      <c r="B30" s="53" t="s">
        <v>419</v>
      </c>
      <c r="C30" s="74" t="s">
        <v>174</v>
      </c>
      <c r="D30" s="75"/>
      <c r="E30" s="76">
        <v>124099</v>
      </c>
      <c r="F30" s="75"/>
      <c r="G30" s="76">
        <v>170767323</v>
      </c>
      <c r="H30" s="53"/>
      <c r="I30" s="76">
        <v>-168406151</v>
      </c>
      <c r="J30" s="75"/>
      <c r="K30" s="76">
        <f t="shared" si="1"/>
        <v>2361172</v>
      </c>
      <c r="L30" s="76"/>
      <c r="M30" s="53">
        <v>1963020</v>
      </c>
      <c r="N30" s="76"/>
      <c r="O30" s="76">
        <v>2612269637</v>
      </c>
      <c r="P30" s="75"/>
      <c r="Q30" s="76">
        <v>-2725998563</v>
      </c>
      <c r="R30" s="76"/>
      <c r="S30" s="76">
        <f t="shared" si="2"/>
        <v>-113728926</v>
      </c>
      <c r="T30" s="70"/>
      <c r="U30" s="111"/>
    </row>
    <row r="31" spans="2:21">
      <c r="B31" s="53" t="s">
        <v>511</v>
      </c>
      <c r="C31" s="74" t="s">
        <v>492</v>
      </c>
      <c r="D31" s="75"/>
      <c r="E31" s="76"/>
      <c r="F31" s="75"/>
      <c r="G31" s="76"/>
      <c r="H31" s="53"/>
      <c r="I31" s="76"/>
      <c r="J31" s="75"/>
      <c r="K31" s="76">
        <f t="shared" si="1"/>
        <v>0</v>
      </c>
      <c r="L31" s="76"/>
      <c r="M31" s="53">
        <v>12079</v>
      </c>
      <c r="N31" s="76"/>
      <c r="O31" s="76">
        <v>36625274</v>
      </c>
      <c r="P31" s="75"/>
      <c r="Q31" s="76">
        <v>-38001436</v>
      </c>
      <c r="R31" s="76"/>
      <c r="S31" s="76">
        <f t="shared" si="2"/>
        <v>-1376162</v>
      </c>
      <c r="T31" s="70"/>
      <c r="U31" s="111"/>
    </row>
    <row r="32" spans="2:21">
      <c r="B32" s="53" t="s">
        <v>418</v>
      </c>
      <c r="C32" s="74" t="s">
        <v>115</v>
      </c>
      <c r="D32" s="75"/>
      <c r="E32" s="76">
        <v>9188</v>
      </c>
      <c r="F32" s="75"/>
      <c r="G32" s="76">
        <v>34490597</v>
      </c>
      <c r="H32" s="53"/>
      <c r="I32" s="76">
        <v>-28443560</v>
      </c>
      <c r="J32" s="75"/>
      <c r="K32" s="76">
        <f t="shared" si="1"/>
        <v>6047037</v>
      </c>
      <c r="L32" s="76"/>
      <c r="M32" s="53">
        <v>1541872</v>
      </c>
      <c r="N32" s="76"/>
      <c r="O32" s="76">
        <v>4664609384</v>
      </c>
      <c r="P32" s="75"/>
      <c r="Q32" s="76">
        <v>-4757066612</v>
      </c>
      <c r="R32" s="76"/>
      <c r="S32" s="76">
        <f t="shared" si="2"/>
        <v>-92457228</v>
      </c>
      <c r="T32" s="70"/>
      <c r="U32" s="111"/>
    </row>
    <row r="33" spans="2:21" s="353" customFormat="1">
      <c r="B33" s="53" t="s">
        <v>417</v>
      </c>
      <c r="C33" s="349" t="s">
        <v>203</v>
      </c>
      <c r="D33" s="350"/>
      <c r="E33" s="76">
        <v>700</v>
      </c>
      <c r="F33" s="350"/>
      <c r="G33" s="76">
        <v>3945386</v>
      </c>
      <c r="H33" s="53"/>
      <c r="I33" s="76">
        <f>-(3607531+428316)</f>
        <v>-4035847</v>
      </c>
      <c r="J33" s="350"/>
      <c r="K33" s="76">
        <f t="shared" si="1"/>
        <v>-90461</v>
      </c>
      <c r="L33" s="76"/>
      <c r="M33" s="53">
        <v>769302</v>
      </c>
      <c r="N33" s="76"/>
      <c r="O33" s="76">
        <v>3744141440</v>
      </c>
      <c r="P33" s="350"/>
      <c r="Q33" s="76">
        <v>-3869985429</v>
      </c>
      <c r="R33" s="76"/>
      <c r="S33" s="76">
        <f t="shared" si="2"/>
        <v>-125843989</v>
      </c>
      <c r="T33" s="351"/>
      <c r="U33" s="352"/>
    </row>
    <row r="34" spans="2:21">
      <c r="B34" s="53" t="s">
        <v>416</v>
      </c>
      <c r="C34" s="74" t="s">
        <v>172</v>
      </c>
      <c r="D34" s="75"/>
      <c r="E34" s="76">
        <v>12842</v>
      </c>
      <c r="F34" s="75"/>
      <c r="G34" s="76">
        <v>245481407</v>
      </c>
      <c r="H34" s="53"/>
      <c r="I34" s="76">
        <v>-126045254</v>
      </c>
      <c r="J34" s="75"/>
      <c r="K34" s="76">
        <f t="shared" si="1"/>
        <v>119436153</v>
      </c>
      <c r="L34" s="76"/>
      <c r="M34" s="53">
        <v>521459</v>
      </c>
      <c r="N34" s="76"/>
      <c r="O34" s="76">
        <v>7111445212</v>
      </c>
      <c r="P34" s="75"/>
      <c r="Q34" s="76">
        <v>-5112673636</v>
      </c>
      <c r="R34" s="76"/>
      <c r="S34" s="76">
        <f t="shared" si="2"/>
        <v>1998771576</v>
      </c>
      <c r="T34" s="70"/>
      <c r="U34" s="111"/>
    </row>
    <row r="35" spans="2:21">
      <c r="B35" s="53" t="s">
        <v>415</v>
      </c>
      <c r="C35" s="74" t="s">
        <v>260</v>
      </c>
      <c r="D35" s="75"/>
      <c r="E35" s="76">
        <v>0</v>
      </c>
      <c r="F35" s="75"/>
      <c r="G35" s="76">
        <v>0</v>
      </c>
      <c r="H35" s="53"/>
      <c r="I35" s="76">
        <v>0</v>
      </c>
      <c r="J35" s="75"/>
      <c r="K35" s="76">
        <f t="shared" si="1"/>
        <v>0</v>
      </c>
      <c r="L35" s="76"/>
      <c r="M35" s="53">
        <v>6058</v>
      </c>
      <c r="N35" s="76"/>
      <c r="O35" s="76">
        <v>434542133</v>
      </c>
      <c r="P35" s="75"/>
      <c r="Q35" s="76">
        <v>-457967555</v>
      </c>
      <c r="R35" s="76"/>
      <c r="S35" s="76">
        <f t="shared" si="2"/>
        <v>-23425422</v>
      </c>
      <c r="T35" s="70"/>
      <c r="U35" s="111"/>
    </row>
    <row r="36" spans="2:21">
      <c r="B36" s="53" t="s">
        <v>414</v>
      </c>
      <c r="C36" s="74" t="s">
        <v>204</v>
      </c>
      <c r="D36" s="75"/>
      <c r="E36" s="76">
        <v>2025</v>
      </c>
      <c r="F36" s="75"/>
      <c r="G36" s="76">
        <v>71667512</v>
      </c>
      <c r="H36" s="53"/>
      <c r="I36" s="76">
        <v>-70055437</v>
      </c>
      <c r="J36" s="75"/>
      <c r="K36" s="76">
        <f t="shared" si="1"/>
        <v>1612075</v>
      </c>
      <c r="L36" s="76"/>
      <c r="M36" s="53">
        <v>29772</v>
      </c>
      <c r="N36" s="76"/>
      <c r="O36" s="76">
        <v>944756303</v>
      </c>
      <c r="P36" s="75"/>
      <c r="Q36" s="76">
        <v>-1041722437</v>
      </c>
      <c r="R36" s="76"/>
      <c r="S36" s="76">
        <f t="shared" si="2"/>
        <v>-96966134</v>
      </c>
      <c r="T36" s="70"/>
      <c r="U36" s="111"/>
    </row>
    <row r="37" spans="2:21">
      <c r="B37" s="53" t="s">
        <v>413</v>
      </c>
      <c r="C37" s="74" t="s">
        <v>268</v>
      </c>
      <c r="D37" s="75"/>
      <c r="E37" s="76">
        <v>18806</v>
      </c>
      <c r="F37" s="75"/>
      <c r="G37" s="76">
        <v>106628353</v>
      </c>
      <c r="H37" s="53"/>
      <c r="I37" s="76">
        <v>-81510180</v>
      </c>
      <c r="J37" s="75"/>
      <c r="K37" s="76">
        <f t="shared" si="1"/>
        <v>25118173</v>
      </c>
      <c r="L37" s="76"/>
      <c r="M37" s="53">
        <v>286332</v>
      </c>
      <c r="N37" s="76"/>
      <c r="O37" s="76">
        <v>1490503284</v>
      </c>
      <c r="P37" s="75"/>
      <c r="Q37" s="76">
        <v>-1229564863</v>
      </c>
      <c r="R37" s="76"/>
      <c r="S37" s="76">
        <f t="shared" si="2"/>
        <v>260938421</v>
      </c>
      <c r="T37" s="70"/>
      <c r="U37" s="111"/>
    </row>
    <row r="38" spans="2:21">
      <c r="B38" s="53" t="s">
        <v>412</v>
      </c>
      <c r="C38" s="74" t="s">
        <v>170</v>
      </c>
      <c r="D38" s="75"/>
      <c r="E38" s="76">
        <v>4798</v>
      </c>
      <c r="F38" s="75"/>
      <c r="G38" s="76">
        <v>37968603</v>
      </c>
      <c r="H38" s="53"/>
      <c r="I38" s="76">
        <v>-66163140</v>
      </c>
      <c r="J38" s="75"/>
      <c r="K38" s="76">
        <f t="shared" si="1"/>
        <v>-28194537</v>
      </c>
      <c r="L38" s="76"/>
      <c r="M38" s="53">
        <v>79075</v>
      </c>
      <c r="N38" s="76"/>
      <c r="O38" s="76">
        <v>649422052</v>
      </c>
      <c r="P38" s="75"/>
      <c r="Q38" s="76">
        <v>-1089313517</v>
      </c>
      <c r="R38" s="76"/>
      <c r="S38" s="76">
        <f t="shared" si="2"/>
        <v>-439891465</v>
      </c>
      <c r="T38" s="70"/>
      <c r="U38" s="111"/>
    </row>
    <row r="39" spans="2:21">
      <c r="B39" s="53" t="s">
        <v>411</v>
      </c>
      <c r="C39" s="74" t="s">
        <v>89</v>
      </c>
      <c r="D39" s="75"/>
      <c r="E39" s="76">
        <v>5508</v>
      </c>
      <c r="F39" s="75"/>
      <c r="G39" s="76">
        <v>214826093</v>
      </c>
      <c r="H39" s="53"/>
      <c r="I39" s="76">
        <v>-167279387</v>
      </c>
      <c r="J39" s="75"/>
      <c r="K39" s="76">
        <f t="shared" si="1"/>
        <v>47546706</v>
      </c>
      <c r="L39" s="76"/>
      <c r="M39" s="53">
        <v>341205</v>
      </c>
      <c r="N39" s="76"/>
      <c r="O39" s="76">
        <v>12142457777</v>
      </c>
      <c r="P39" s="75"/>
      <c r="Q39" s="76">
        <v>-10360670092</v>
      </c>
      <c r="R39" s="76"/>
      <c r="S39" s="76">
        <f t="shared" si="2"/>
        <v>1781787685</v>
      </c>
      <c r="T39" s="70"/>
      <c r="U39" s="111"/>
    </row>
    <row r="40" spans="2:21">
      <c r="B40" s="53" t="s">
        <v>410</v>
      </c>
      <c r="C40" s="74" t="s">
        <v>142</v>
      </c>
      <c r="D40" s="75"/>
      <c r="E40" s="76">
        <v>5782</v>
      </c>
      <c r="F40" s="75"/>
      <c r="G40" s="76">
        <v>60366247</v>
      </c>
      <c r="H40" s="53"/>
      <c r="I40" s="76">
        <v>-67699429</v>
      </c>
      <c r="J40" s="75"/>
      <c r="K40" s="76">
        <f t="shared" si="1"/>
        <v>-7333182</v>
      </c>
      <c r="L40" s="76"/>
      <c r="M40" s="53">
        <v>326092</v>
      </c>
      <c r="N40" s="76"/>
      <c r="O40" s="76">
        <v>4763317950</v>
      </c>
      <c r="P40" s="75"/>
      <c r="Q40" s="76">
        <v>-5673711551</v>
      </c>
      <c r="R40" s="76"/>
      <c r="S40" s="76">
        <f t="shared" ref="S40:S69" si="3">O40+Q40</f>
        <v>-910393601</v>
      </c>
      <c r="T40" s="70"/>
      <c r="U40" s="111"/>
    </row>
    <row r="41" spans="2:21">
      <c r="B41" s="53" t="s">
        <v>409</v>
      </c>
      <c r="C41" s="74" t="s">
        <v>217</v>
      </c>
      <c r="D41" s="75"/>
      <c r="E41" s="76">
        <v>7088</v>
      </c>
      <c r="F41" s="75"/>
      <c r="G41" s="76">
        <v>13193106</v>
      </c>
      <c r="H41" s="53"/>
      <c r="I41" s="76">
        <v>-12767650</v>
      </c>
      <c r="J41" s="75"/>
      <c r="K41" s="76">
        <f t="shared" si="1"/>
        <v>425456</v>
      </c>
      <c r="L41" s="76"/>
      <c r="M41" s="53">
        <v>1321894</v>
      </c>
      <c r="N41" s="76"/>
      <c r="O41" s="76">
        <v>2225447692</v>
      </c>
      <c r="P41" s="75"/>
      <c r="Q41" s="76">
        <v>-2364537058</v>
      </c>
      <c r="R41" s="76"/>
      <c r="S41" s="76">
        <f t="shared" si="3"/>
        <v>-139089366</v>
      </c>
      <c r="T41" s="70"/>
      <c r="U41" s="111"/>
    </row>
    <row r="42" spans="2:21">
      <c r="B42" s="53" t="s">
        <v>408</v>
      </c>
      <c r="C42" s="74" t="s">
        <v>193</v>
      </c>
      <c r="D42" s="75"/>
      <c r="E42" s="76">
        <v>4195</v>
      </c>
      <c r="F42" s="75"/>
      <c r="G42" s="76">
        <v>100978968</v>
      </c>
      <c r="H42" s="53"/>
      <c r="I42" s="76">
        <v>-84185506</v>
      </c>
      <c r="J42" s="75"/>
      <c r="K42" s="76">
        <f t="shared" si="1"/>
        <v>16793462</v>
      </c>
      <c r="L42" s="76"/>
      <c r="M42" s="53">
        <v>71682</v>
      </c>
      <c r="N42" s="76"/>
      <c r="O42" s="76">
        <v>1566056324</v>
      </c>
      <c r="P42" s="75"/>
      <c r="Q42" s="76">
        <v>-1433761420</v>
      </c>
      <c r="R42" s="76"/>
      <c r="S42" s="76">
        <f t="shared" si="3"/>
        <v>132294904</v>
      </c>
      <c r="T42" s="70"/>
      <c r="U42" s="111"/>
    </row>
    <row r="43" spans="2:21">
      <c r="B43" s="53" t="s">
        <v>407</v>
      </c>
      <c r="C43" s="74" t="s">
        <v>219</v>
      </c>
      <c r="D43" s="75"/>
      <c r="E43" s="76">
        <v>45621</v>
      </c>
      <c r="F43" s="75"/>
      <c r="G43" s="76">
        <v>240242800</v>
      </c>
      <c r="H43" s="53"/>
      <c r="I43" s="76">
        <v>-221071042</v>
      </c>
      <c r="J43" s="75"/>
      <c r="K43" s="76">
        <f t="shared" si="1"/>
        <v>19171758</v>
      </c>
      <c r="L43" s="76"/>
      <c r="M43" s="53">
        <v>732076</v>
      </c>
      <c r="N43" s="76"/>
      <c r="O43" s="76">
        <v>3599049965</v>
      </c>
      <c r="P43" s="75"/>
      <c r="Q43" s="76">
        <v>-3494469571</v>
      </c>
      <c r="R43" s="76"/>
      <c r="S43" s="76">
        <f t="shared" si="3"/>
        <v>104580394</v>
      </c>
      <c r="T43" s="70"/>
      <c r="U43" s="111"/>
    </row>
    <row r="44" spans="2:21">
      <c r="B44" s="53" t="s">
        <v>406</v>
      </c>
      <c r="C44" s="74" t="s">
        <v>266</v>
      </c>
      <c r="D44" s="75"/>
      <c r="E44" s="76">
        <v>3839</v>
      </c>
      <c r="F44" s="75"/>
      <c r="G44" s="76">
        <v>100030687</v>
      </c>
      <c r="H44" s="53"/>
      <c r="I44" s="76">
        <v>-93079764</v>
      </c>
      <c r="J44" s="75"/>
      <c r="K44" s="76">
        <f t="shared" si="1"/>
        <v>6950923</v>
      </c>
      <c r="L44" s="76"/>
      <c r="M44" s="53">
        <v>47971</v>
      </c>
      <c r="N44" s="76"/>
      <c r="O44" s="76">
        <v>1158997046</v>
      </c>
      <c r="P44" s="75"/>
      <c r="Q44" s="76">
        <v>-1138803900</v>
      </c>
      <c r="R44" s="76"/>
      <c r="S44" s="76">
        <f t="shared" si="3"/>
        <v>20193146</v>
      </c>
      <c r="T44" s="70"/>
      <c r="U44" s="111"/>
    </row>
    <row r="45" spans="2:21">
      <c r="B45" s="53" t="s">
        <v>405</v>
      </c>
      <c r="C45" s="74" t="s">
        <v>178</v>
      </c>
      <c r="D45" s="75"/>
      <c r="E45" s="76">
        <v>3032</v>
      </c>
      <c r="F45" s="75"/>
      <c r="G45" s="76">
        <v>34397786</v>
      </c>
      <c r="H45" s="53"/>
      <c r="I45" s="76">
        <v>-31816666</v>
      </c>
      <c r="J45" s="75"/>
      <c r="K45" s="76">
        <f t="shared" si="1"/>
        <v>2581120</v>
      </c>
      <c r="L45" s="76"/>
      <c r="M45" s="53">
        <v>89369</v>
      </c>
      <c r="N45" s="76"/>
      <c r="O45" s="76">
        <v>974398282</v>
      </c>
      <c r="P45" s="75"/>
      <c r="Q45" s="76">
        <v>-950961947</v>
      </c>
      <c r="R45" s="76"/>
      <c r="S45" s="76">
        <f t="shared" si="3"/>
        <v>23436335</v>
      </c>
      <c r="T45" s="70"/>
      <c r="U45" s="111"/>
    </row>
    <row r="46" spans="2:21">
      <c r="B46" s="53" t="s">
        <v>404</v>
      </c>
      <c r="C46" s="74" t="s">
        <v>182</v>
      </c>
      <c r="D46" s="75"/>
      <c r="E46" s="76">
        <v>20157</v>
      </c>
      <c r="F46" s="75"/>
      <c r="G46" s="76">
        <v>410168082</v>
      </c>
      <c r="H46" s="53"/>
      <c r="I46" s="76">
        <v>-399006471</v>
      </c>
      <c r="J46" s="75"/>
      <c r="K46" s="76">
        <f t="shared" si="1"/>
        <v>11161611</v>
      </c>
      <c r="L46" s="76"/>
      <c r="M46" s="53">
        <v>296659</v>
      </c>
      <c r="N46" s="76"/>
      <c r="O46" s="76">
        <v>5623385471</v>
      </c>
      <c r="P46" s="75"/>
      <c r="Q46" s="76">
        <v>-5965277045</v>
      </c>
      <c r="R46" s="76"/>
      <c r="S46" s="76">
        <f t="shared" si="3"/>
        <v>-341891574</v>
      </c>
      <c r="T46" s="70"/>
      <c r="U46" s="111"/>
    </row>
    <row r="47" spans="2:21">
      <c r="B47" s="53" t="s">
        <v>403</v>
      </c>
      <c r="C47" s="74" t="s">
        <v>150</v>
      </c>
      <c r="D47" s="75"/>
      <c r="E47" s="76">
        <v>55903</v>
      </c>
      <c r="F47" s="75"/>
      <c r="G47" s="76">
        <v>143451676</v>
      </c>
      <c r="H47" s="53"/>
      <c r="I47" s="76">
        <v>-155610942</v>
      </c>
      <c r="J47" s="75"/>
      <c r="K47" s="76">
        <f t="shared" si="1"/>
        <v>-12159266</v>
      </c>
      <c r="L47" s="76"/>
      <c r="M47" s="53">
        <v>898654</v>
      </c>
      <c r="N47" s="76"/>
      <c r="O47" s="76">
        <v>2293559943</v>
      </c>
      <c r="P47" s="75"/>
      <c r="Q47" s="76">
        <v>-2525611674</v>
      </c>
      <c r="R47" s="76"/>
      <c r="S47" s="76">
        <f t="shared" si="3"/>
        <v>-232051731</v>
      </c>
      <c r="T47" s="70"/>
      <c r="U47" s="111"/>
    </row>
    <row r="48" spans="2:21">
      <c r="B48" s="53" t="s">
        <v>402</v>
      </c>
      <c r="C48" s="74" t="s">
        <v>127</v>
      </c>
      <c r="D48" s="75"/>
      <c r="E48" s="76">
        <v>3181</v>
      </c>
      <c r="F48" s="75"/>
      <c r="G48" s="76">
        <v>136413997</v>
      </c>
      <c r="H48" s="53"/>
      <c r="I48" s="76">
        <v>-135543933</v>
      </c>
      <c r="J48" s="75"/>
      <c r="K48" s="76">
        <f t="shared" si="1"/>
        <v>870064</v>
      </c>
      <c r="L48" s="76"/>
      <c r="M48" s="53">
        <v>32723</v>
      </c>
      <c r="N48" s="76"/>
      <c r="O48" s="76">
        <v>1354262477</v>
      </c>
      <c r="P48" s="75"/>
      <c r="Q48" s="76">
        <v>-1412617297</v>
      </c>
      <c r="R48" s="76"/>
      <c r="S48" s="76">
        <f t="shared" si="3"/>
        <v>-58354820</v>
      </c>
      <c r="T48" s="70"/>
      <c r="U48" s="111"/>
    </row>
    <row r="49" spans="2:21">
      <c r="B49" s="53" t="s">
        <v>401</v>
      </c>
      <c r="C49" s="74" t="s">
        <v>224</v>
      </c>
      <c r="D49" s="75"/>
      <c r="E49" s="76">
        <v>7546</v>
      </c>
      <c r="F49" s="75"/>
      <c r="G49" s="76">
        <v>66826485</v>
      </c>
      <c r="H49" s="53"/>
      <c r="I49" s="76">
        <v>-64399265</v>
      </c>
      <c r="J49" s="75"/>
      <c r="K49" s="76">
        <f t="shared" si="1"/>
        <v>2427220</v>
      </c>
      <c r="L49" s="76"/>
      <c r="M49" s="53">
        <v>139148</v>
      </c>
      <c r="N49" s="76"/>
      <c r="O49" s="76">
        <v>1214716215</v>
      </c>
      <c r="P49" s="75"/>
      <c r="Q49" s="76">
        <v>-1163336411</v>
      </c>
      <c r="R49" s="76"/>
      <c r="S49" s="76">
        <f t="shared" si="3"/>
        <v>51379804</v>
      </c>
      <c r="T49" s="70"/>
      <c r="U49" s="111"/>
    </row>
    <row r="50" spans="2:21">
      <c r="B50" s="53" t="s">
        <v>400</v>
      </c>
      <c r="C50" s="74" t="s">
        <v>94</v>
      </c>
      <c r="D50" s="75"/>
      <c r="E50" s="76">
        <v>13831</v>
      </c>
      <c r="F50" s="75"/>
      <c r="G50" s="76">
        <v>77340194</v>
      </c>
      <c r="H50" s="53"/>
      <c r="I50" s="76">
        <v>-68887758</v>
      </c>
      <c r="J50" s="75"/>
      <c r="K50" s="76">
        <f t="shared" si="1"/>
        <v>8452436</v>
      </c>
      <c r="L50" s="76"/>
      <c r="M50" s="53">
        <v>310980</v>
      </c>
      <c r="N50" s="76"/>
      <c r="O50" s="76">
        <v>1651763106</v>
      </c>
      <c r="P50" s="75"/>
      <c r="Q50" s="76">
        <v>-1548530161</v>
      </c>
      <c r="R50" s="76"/>
      <c r="S50" s="76">
        <f t="shared" si="3"/>
        <v>103232945</v>
      </c>
      <c r="T50" s="70"/>
      <c r="U50" s="111"/>
    </row>
    <row r="51" spans="2:21">
      <c r="B51" s="53" t="s">
        <v>399</v>
      </c>
      <c r="C51" s="74" t="s">
        <v>165</v>
      </c>
      <c r="D51" s="75"/>
      <c r="E51" s="76">
        <v>8932</v>
      </c>
      <c r="F51" s="75"/>
      <c r="G51" s="76">
        <v>71934060</v>
      </c>
      <c r="H51" s="53"/>
      <c r="I51" s="76">
        <v>-73218313</v>
      </c>
      <c r="J51" s="75"/>
      <c r="K51" s="76">
        <f t="shared" si="1"/>
        <v>-1284253</v>
      </c>
      <c r="L51" s="76"/>
      <c r="M51" s="53">
        <v>132251</v>
      </c>
      <c r="N51" s="76"/>
      <c r="O51" s="76">
        <v>1024416628</v>
      </c>
      <c r="P51" s="75"/>
      <c r="Q51" s="76">
        <v>-1090495850</v>
      </c>
      <c r="R51" s="76"/>
      <c r="S51" s="76">
        <f t="shared" si="3"/>
        <v>-66079222</v>
      </c>
      <c r="T51" s="70"/>
      <c r="U51" s="111"/>
    </row>
    <row r="52" spans="2:21">
      <c r="B52" s="53" t="s">
        <v>398</v>
      </c>
      <c r="C52" s="74" t="s">
        <v>162</v>
      </c>
      <c r="D52" s="75"/>
      <c r="E52" s="76">
        <v>4900</v>
      </c>
      <c r="F52" s="75"/>
      <c r="G52" s="76">
        <v>149328297</v>
      </c>
      <c r="H52" s="53"/>
      <c r="I52" s="76">
        <v>-126157806</v>
      </c>
      <c r="J52" s="75"/>
      <c r="K52" s="76">
        <f t="shared" si="1"/>
        <v>23170491</v>
      </c>
      <c r="L52" s="76"/>
      <c r="M52" s="53">
        <v>182421</v>
      </c>
      <c r="N52" s="76"/>
      <c r="O52" s="76">
        <v>5274337862</v>
      </c>
      <c r="P52" s="75"/>
      <c r="Q52" s="76">
        <v>-4575263788</v>
      </c>
      <c r="R52" s="76"/>
      <c r="S52" s="76">
        <f t="shared" si="3"/>
        <v>699074074</v>
      </c>
      <c r="T52" s="70"/>
      <c r="U52" s="111"/>
    </row>
    <row r="53" spans="2:21">
      <c r="B53" s="53" t="s">
        <v>510</v>
      </c>
      <c r="C53" s="74" t="s">
        <v>491</v>
      </c>
      <c r="D53" s="75"/>
      <c r="E53" s="76">
        <v>7483</v>
      </c>
      <c r="F53" s="75"/>
      <c r="G53" s="76">
        <v>140582045</v>
      </c>
      <c r="H53" s="53"/>
      <c r="I53" s="76">
        <v>-99343125</v>
      </c>
      <c r="J53" s="75"/>
      <c r="K53" s="76">
        <f t="shared" si="1"/>
        <v>41238920</v>
      </c>
      <c r="L53" s="76"/>
      <c r="M53" s="53">
        <v>96545</v>
      </c>
      <c r="N53" s="76"/>
      <c r="O53" s="76">
        <v>1542803571</v>
      </c>
      <c r="P53" s="75"/>
      <c r="Q53" s="76">
        <v>-1281798847</v>
      </c>
      <c r="R53" s="76"/>
      <c r="S53" s="76">
        <f t="shared" si="3"/>
        <v>261004724</v>
      </c>
      <c r="T53" s="70"/>
      <c r="U53" s="111"/>
    </row>
    <row r="54" spans="2:21">
      <c r="B54" s="53" t="s">
        <v>397</v>
      </c>
      <c r="C54" s="74" t="s">
        <v>114</v>
      </c>
      <c r="D54" s="75"/>
      <c r="E54" s="76">
        <v>14546</v>
      </c>
      <c r="F54" s="75"/>
      <c r="G54" s="76">
        <v>39533409</v>
      </c>
      <c r="H54" s="53"/>
      <c r="I54" s="76">
        <v>-58649490</v>
      </c>
      <c r="J54" s="75"/>
      <c r="K54" s="76">
        <f t="shared" si="1"/>
        <v>-19116081</v>
      </c>
      <c r="L54" s="76"/>
      <c r="M54" s="53">
        <v>289877</v>
      </c>
      <c r="N54" s="76"/>
      <c r="O54" s="76">
        <v>811019080</v>
      </c>
      <c r="P54" s="75"/>
      <c r="Q54" s="76">
        <v>-1168276882</v>
      </c>
      <c r="R54" s="76"/>
      <c r="S54" s="76">
        <f t="shared" si="3"/>
        <v>-357257802</v>
      </c>
      <c r="T54" s="70"/>
      <c r="U54" s="111"/>
    </row>
    <row r="55" spans="2:21">
      <c r="B55" s="53" t="s">
        <v>396</v>
      </c>
      <c r="C55" s="74" t="s">
        <v>209</v>
      </c>
      <c r="D55" s="75"/>
      <c r="E55" s="76">
        <v>16211</v>
      </c>
      <c r="F55" s="75"/>
      <c r="G55" s="76">
        <v>134457973</v>
      </c>
      <c r="H55" s="53"/>
      <c r="I55" s="76">
        <v>-110345766</v>
      </c>
      <c r="J55" s="75"/>
      <c r="K55" s="76">
        <f t="shared" si="1"/>
        <v>24112207</v>
      </c>
      <c r="L55" s="76"/>
      <c r="M55" s="53">
        <v>410921</v>
      </c>
      <c r="N55" s="76"/>
      <c r="O55" s="76">
        <v>2933454436</v>
      </c>
      <c r="P55" s="75"/>
      <c r="Q55" s="76">
        <v>-2817030370</v>
      </c>
      <c r="R55" s="76"/>
      <c r="S55" s="76">
        <f t="shared" si="3"/>
        <v>116424066</v>
      </c>
      <c r="T55" s="70"/>
      <c r="U55" s="111"/>
    </row>
    <row r="56" spans="2:21">
      <c r="B56" s="53" t="s">
        <v>395</v>
      </c>
      <c r="C56" s="74" t="s">
        <v>228</v>
      </c>
      <c r="D56" s="75"/>
      <c r="E56" s="76">
        <v>6028</v>
      </c>
      <c r="F56" s="75"/>
      <c r="G56" s="76">
        <v>119156820</v>
      </c>
      <c r="H56" s="53"/>
      <c r="I56" s="76">
        <v>-133539924</v>
      </c>
      <c r="J56" s="75"/>
      <c r="K56" s="76">
        <f t="shared" si="1"/>
        <v>-14383104</v>
      </c>
      <c r="L56" s="76"/>
      <c r="M56" s="53">
        <v>112365</v>
      </c>
      <c r="N56" s="76"/>
      <c r="O56" s="76">
        <v>2255102844</v>
      </c>
      <c r="P56" s="75"/>
      <c r="Q56" s="76">
        <v>-2547527316</v>
      </c>
      <c r="R56" s="76"/>
      <c r="S56" s="76">
        <f t="shared" si="3"/>
        <v>-292424472</v>
      </c>
      <c r="T56" s="70"/>
      <c r="U56" s="111"/>
    </row>
    <row r="57" spans="2:21">
      <c r="B57" s="53" t="s">
        <v>394</v>
      </c>
      <c r="C57" s="74" t="s">
        <v>223</v>
      </c>
      <c r="D57" s="75"/>
      <c r="E57" s="76">
        <v>35109</v>
      </c>
      <c r="F57" s="75"/>
      <c r="G57" s="76">
        <v>181966831</v>
      </c>
      <c r="H57" s="53"/>
      <c r="I57" s="76">
        <v>-166390749</v>
      </c>
      <c r="J57" s="75"/>
      <c r="K57" s="76">
        <f t="shared" si="1"/>
        <v>15576082</v>
      </c>
      <c r="L57" s="76"/>
      <c r="M57" s="53">
        <v>931897</v>
      </c>
      <c r="N57" s="76"/>
      <c r="O57" s="76">
        <v>4545814740</v>
      </c>
      <c r="P57" s="75"/>
      <c r="Q57" s="76">
        <v>-4446976694</v>
      </c>
      <c r="R57" s="76"/>
      <c r="S57" s="76">
        <f t="shared" si="3"/>
        <v>98838046</v>
      </c>
      <c r="T57" s="70"/>
      <c r="U57" s="111"/>
    </row>
    <row r="58" spans="2:21">
      <c r="B58" s="53" t="s">
        <v>393</v>
      </c>
      <c r="C58" s="74" t="s">
        <v>138</v>
      </c>
      <c r="D58" s="75"/>
      <c r="E58" s="76">
        <v>34707</v>
      </c>
      <c r="F58" s="75"/>
      <c r="G58" s="76">
        <v>81866011</v>
      </c>
      <c r="H58" s="53"/>
      <c r="I58" s="76">
        <v>-98292224</v>
      </c>
      <c r="J58" s="75"/>
      <c r="K58" s="76">
        <f t="shared" si="1"/>
        <v>-16426213</v>
      </c>
      <c r="L58" s="76"/>
      <c r="M58" s="53">
        <v>653772</v>
      </c>
      <c r="N58" s="76"/>
      <c r="O58" s="76">
        <v>1484175047</v>
      </c>
      <c r="P58" s="75"/>
      <c r="Q58" s="76">
        <v>-1870459107</v>
      </c>
      <c r="R58" s="76"/>
      <c r="S58" s="76">
        <f t="shared" si="3"/>
        <v>-386284060</v>
      </c>
      <c r="T58" s="70"/>
      <c r="U58" s="111"/>
    </row>
    <row r="59" spans="2:21">
      <c r="B59" s="53" t="s">
        <v>392</v>
      </c>
      <c r="C59" s="74" t="s">
        <v>272</v>
      </c>
      <c r="D59" s="75"/>
      <c r="E59" s="76">
        <v>1166</v>
      </c>
      <c r="F59" s="75"/>
      <c r="G59" s="76">
        <v>94624378</v>
      </c>
      <c r="H59" s="53"/>
      <c r="I59" s="76">
        <v>-86721149</v>
      </c>
      <c r="J59" s="75"/>
      <c r="K59" s="76">
        <f t="shared" si="1"/>
        <v>7903229</v>
      </c>
      <c r="L59" s="76"/>
      <c r="M59" s="53">
        <v>18558</v>
      </c>
      <c r="N59" s="76"/>
      <c r="O59" s="76">
        <v>1373154158</v>
      </c>
      <c r="P59" s="75"/>
      <c r="Q59" s="76">
        <v>-1382371869</v>
      </c>
      <c r="R59" s="76"/>
      <c r="S59" s="76">
        <f t="shared" si="3"/>
        <v>-9217711</v>
      </c>
      <c r="T59" s="70"/>
      <c r="U59" s="111"/>
    </row>
    <row r="60" spans="2:21">
      <c r="B60" s="53" t="s">
        <v>391</v>
      </c>
      <c r="C60" s="74" t="s">
        <v>159</v>
      </c>
      <c r="D60" s="75"/>
      <c r="E60" s="76">
        <v>59579</v>
      </c>
      <c r="F60" s="75"/>
      <c r="G60" s="76">
        <v>248169008</v>
      </c>
      <c r="H60" s="53"/>
      <c r="I60" s="76">
        <v>-189808837</v>
      </c>
      <c r="J60" s="75"/>
      <c r="K60" s="76">
        <f t="shared" si="1"/>
        <v>58360171</v>
      </c>
      <c r="L60" s="76"/>
      <c r="M60" s="53">
        <v>1738912</v>
      </c>
      <c r="N60" s="76"/>
      <c r="O60" s="76">
        <v>6461987253</v>
      </c>
      <c r="P60" s="75"/>
      <c r="Q60" s="76">
        <v>-5513713790</v>
      </c>
      <c r="R60" s="76"/>
      <c r="S60" s="76">
        <f t="shared" si="3"/>
        <v>948273463</v>
      </c>
      <c r="T60" s="70"/>
      <c r="U60" s="111"/>
    </row>
    <row r="61" spans="2:21">
      <c r="B61" s="53" t="s">
        <v>390</v>
      </c>
      <c r="C61" s="74" t="s">
        <v>137</v>
      </c>
      <c r="D61" s="75"/>
      <c r="E61" s="76">
        <v>3860</v>
      </c>
      <c r="F61" s="75"/>
      <c r="G61" s="76">
        <v>38623166</v>
      </c>
      <c r="H61" s="53"/>
      <c r="I61" s="76">
        <v>-40932557</v>
      </c>
      <c r="J61" s="75"/>
      <c r="K61" s="76">
        <f t="shared" si="1"/>
        <v>-2309391</v>
      </c>
      <c r="L61" s="76"/>
      <c r="M61" s="53">
        <v>112626</v>
      </c>
      <c r="N61" s="76"/>
      <c r="O61" s="76">
        <v>1258591881</v>
      </c>
      <c r="P61" s="75"/>
      <c r="Q61" s="76">
        <v>-1339521776</v>
      </c>
      <c r="R61" s="76"/>
      <c r="S61" s="76">
        <f t="shared" si="3"/>
        <v>-80929895</v>
      </c>
      <c r="T61" s="70"/>
      <c r="U61" s="111"/>
    </row>
    <row r="62" spans="2:21">
      <c r="B62" s="53" t="s">
        <v>716</v>
      </c>
      <c r="C62" s="74" t="s">
        <v>518</v>
      </c>
      <c r="D62" s="75"/>
      <c r="E62" s="76"/>
      <c r="F62" s="75"/>
      <c r="G62" s="76"/>
      <c r="H62" s="53"/>
      <c r="I62" s="76"/>
      <c r="J62" s="75"/>
      <c r="K62" s="76">
        <f t="shared" si="1"/>
        <v>0</v>
      </c>
      <c r="L62" s="76"/>
      <c r="M62" s="53">
        <v>25630</v>
      </c>
      <c r="N62" s="76"/>
      <c r="O62" s="76">
        <v>203153222</v>
      </c>
      <c r="P62" s="75"/>
      <c r="Q62" s="76">
        <v>-255899281</v>
      </c>
      <c r="R62" s="76"/>
      <c r="S62" s="76">
        <f t="shared" si="3"/>
        <v>-52746059</v>
      </c>
      <c r="T62" s="70"/>
      <c r="U62" s="111"/>
    </row>
    <row r="63" spans="2:21">
      <c r="B63" s="53" t="s">
        <v>389</v>
      </c>
      <c r="C63" s="74" t="s">
        <v>192</v>
      </c>
      <c r="D63" s="75"/>
      <c r="E63" s="76">
        <v>917948</v>
      </c>
      <c r="F63" s="75"/>
      <c r="G63" s="76">
        <v>5861066432</v>
      </c>
      <c r="H63" s="53"/>
      <c r="I63" s="76">
        <f>-(5231301433-176127828)</f>
        <v>-5055173605</v>
      </c>
      <c r="J63" s="75"/>
      <c r="K63" s="76">
        <f t="shared" si="1"/>
        <v>805892827</v>
      </c>
      <c r="L63" s="76"/>
      <c r="M63" s="53">
        <v>2829474</v>
      </c>
      <c r="N63" s="76"/>
      <c r="O63" s="76">
        <v>25891497250</v>
      </c>
      <c r="P63" s="75"/>
      <c r="Q63" s="76">
        <v>-26063101742</v>
      </c>
      <c r="R63" s="76"/>
      <c r="S63" s="76">
        <f t="shared" si="3"/>
        <v>-171604492</v>
      </c>
      <c r="T63" s="70"/>
      <c r="U63" s="111"/>
    </row>
    <row r="64" spans="2:21">
      <c r="B64" s="53" t="s">
        <v>388</v>
      </c>
      <c r="C64" s="74" t="s">
        <v>119</v>
      </c>
      <c r="D64" s="75"/>
      <c r="E64" s="76">
        <v>117276</v>
      </c>
      <c r="F64" s="75"/>
      <c r="G64" s="76">
        <v>838642026</v>
      </c>
      <c r="H64" s="53"/>
      <c r="I64" s="76">
        <v>-654922839</v>
      </c>
      <c r="J64" s="75"/>
      <c r="K64" s="76">
        <f t="shared" si="1"/>
        <v>183719187</v>
      </c>
      <c r="L64" s="76"/>
      <c r="M64" s="53">
        <v>1241489</v>
      </c>
      <c r="N64" s="76"/>
      <c r="O64" s="76">
        <v>7944231236</v>
      </c>
      <c r="P64" s="75"/>
      <c r="Q64" s="76">
        <v>-6739962407</v>
      </c>
      <c r="R64" s="76"/>
      <c r="S64" s="76">
        <f t="shared" si="3"/>
        <v>1204268829</v>
      </c>
      <c r="T64" s="70"/>
      <c r="U64" s="111"/>
    </row>
    <row r="65" spans="2:21">
      <c r="B65" s="53" t="s">
        <v>387</v>
      </c>
      <c r="C65" s="74" t="s">
        <v>101</v>
      </c>
      <c r="D65" s="75"/>
      <c r="E65" s="76">
        <v>59965</v>
      </c>
      <c r="F65" s="75"/>
      <c r="G65" s="76">
        <v>162699635</v>
      </c>
      <c r="H65" s="53"/>
      <c r="I65" s="76">
        <v>-154477372</v>
      </c>
      <c r="J65" s="75"/>
      <c r="K65" s="76">
        <f t="shared" si="1"/>
        <v>8222263</v>
      </c>
      <c r="L65" s="76"/>
      <c r="M65" s="53">
        <v>613980</v>
      </c>
      <c r="N65" s="76"/>
      <c r="O65" s="76">
        <v>1594773935</v>
      </c>
      <c r="P65" s="75"/>
      <c r="Q65" s="76">
        <v>-1660826255</v>
      </c>
      <c r="R65" s="76"/>
      <c r="S65" s="76">
        <f t="shared" si="3"/>
        <v>-66052320</v>
      </c>
      <c r="T65" s="70"/>
      <c r="U65" s="111"/>
    </row>
    <row r="66" spans="2:21">
      <c r="B66" s="53" t="s">
        <v>386</v>
      </c>
      <c r="C66" s="74" t="s">
        <v>208</v>
      </c>
      <c r="D66" s="75"/>
      <c r="E66" s="76">
        <v>8326</v>
      </c>
      <c r="F66" s="75"/>
      <c r="G66" s="76">
        <v>105430371</v>
      </c>
      <c r="H66" s="53"/>
      <c r="I66" s="76">
        <v>-112266915</v>
      </c>
      <c r="J66" s="75"/>
      <c r="K66" s="76">
        <f t="shared" si="1"/>
        <v>-6836544</v>
      </c>
      <c r="L66" s="76"/>
      <c r="M66" s="53">
        <v>159670</v>
      </c>
      <c r="N66" s="76"/>
      <c r="O66" s="76">
        <v>1864488382</v>
      </c>
      <c r="P66" s="75"/>
      <c r="Q66" s="76">
        <v>-2288622274</v>
      </c>
      <c r="R66" s="76"/>
      <c r="S66" s="76">
        <f t="shared" si="3"/>
        <v>-424133892</v>
      </c>
      <c r="T66" s="70"/>
      <c r="U66" s="111"/>
    </row>
    <row r="67" spans="2:21">
      <c r="B67" s="53" t="s">
        <v>385</v>
      </c>
      <c r="C67" s="74" t="s">
        <v>201</v>
      </c>
      <c r="D67" s="75"/>
      <c r="E67" s="76">
        <v>58511</v>
      </c>
      <c r="F67" s="75"/>
      <c r="G67" s="76">
        <v>309369231</v>
      </c>
      <c r="H67" s="53"/>
      <c r="I67" s="76">
        <v>-211522683</v>
      </c>
      <c r="J67" s="75"/>
      <c r="K67" s="76">
        <f t="shared" si="1"/>
        <v>97846548</v>
      </c>
      <c r="L67" s="76"/>
      <c r="M67" s="53">
        <v>774714</v>
      </c>
      <c r="N67" s="76"/>
      <c r="O67" s="76">
        <v>2836156142</v>
      </c>
      <c r="P67" s="75"/>
      <c r="Q67" s="76">
        <v>-2829188297</v>
      </c>
      <c r="R67" s="76"/>
      <c r="S67" s="76">
        <f t="shared" si="3"/>
        <v>6967845</v>
      </c>
      <c r="T67" s="70"/>
      <c r="U67" s="111"/>
    </row>
    <row r="68" spans="2:21">
      <c r="B68" s="53" t="s">
        <v>384</v>
      </c>
      <c r="C68" s="74" t="s">
        <v>262</v>
      </c>
      <c r="D68" s="75"/>
      <c r="E68" s="76">
        <v>206247</v>
      </c>
      <c r="F68" s="75"/>
      <c r="G68" s="76">
        <v>2615977853</v>
      </c>
      <c r="H68" s="53"/>
      <c r="I68" s="76">
        <v>-1479301899</v>
      </c>
      <c r="J68" s="75"/>
      <c r="K68" s="76">
        <f t="shared" si="1"/>
        <v>1136675954</v>
      </c>
      <c r="L68" s="76"/>
      <c r="M68" s="53">
        <v>1306692</v>
      </c>
      <c r="N68" s="76"/>
      <c r="O68" s="76">
        <v>14515744515</v>
      </c>
      <c r="P68" s="75"/>
      <c r="Q68" s="76">
        <v>-9188709171</v>
      </c>
      <c r="R68" s="76"/>
      <c r="S68" s="76">
        <f t="shared" si="3"/>
        <v>5327035344</v>
      </c>
      <c r="T68" s="70"/>
      <c r="U68" s="111"/>
    </row>
    <row r="69" spans="2:21">
      <c r="B69" s="53" t="s">
        <v>383</v>
      </c>
      <c r="C69" s="74" t="s">
        <v>163</v>
      </c>
      <c r="D69" s="75"/>
      <c r="E69" s="76">
        <v>3481</v>
      </c>
      <c r="F69" s="75"/>
      <c r="G69" s="76">
        <v>51324327</v>
      </c>
      <c r="H69" s="53"/>
      <c r="I69" s="76">
        <v>-43860582</v>
      </c>
      <c r="J69" s="75"/>
      <c r="K69" s="76">
        <f t="shared" si="1"/>
        <v>7463745</v>
      </c>
      <c r="L69" s="76"/>
      <c r="M69" s="53">
        <v>82087</v>
      </c>
      <c r="N69" s="76"/>
      <c r="O69" s="76">
        <v>2664520714</v>
      </c>
      <c r="P69" s="75"/>
      <c r="Q69" s="76">
        <v>-2392254239</v>
      </c>
      <c r="R69" s="76"/>
      <c r="S69" s="76">
        <f t="shared" si="3"/>
        <v>272266475</v>
      </c>
      <c r="T69" s="70"/>
      <c r="U69" s="111"/>
    </row>
    <row r="70" spans="2:21">
      <c r="B70" s="53" t="s">
        <v>382</v>
      </c>
      <c r="C70" s="74" t="s">
        <v>152</v>
      </c>
      <c r="D70" s="75"/>
      <c r="E70" s="76">
        <v>25981</v>
      </c>
      <c r="F70" s="75"/>
      <c r="G70" s="76">
        <v>151286630</v>
      </c>
      <c r="H70" s="53"/>
      <c r="I70" s="76">
        <v>-163144948</v>
      </c>
      <c r="J70" s="75"/>
      <c r="K70" s="76">
        <f t="shared" si="1"/>
        <v>-11858318</v>
      </c>
      <c r="L70" s="76"/>
      <c r="M70" s="53">
        <v>545261</v>
      </c>
      <c r="N70" s="76"/>
      <c r="O70" s="76">
        <v>3157410648</v>
      </c>
      <c r="P70" s="75"/>
      <c r="Q70" s="76">
        <v>-3457661734</v>
      </c>
      <c r="R70" s="76"/>
      <c r="S70" s="76">
        <f t="shared" ref="S70:S133" si="4">O70+Q70</f>
        <v>-300251086</v>
      </c>
      <c r="T70" s="70"/>
      <c r="U70" s="111"/>
    </row>
    <row r="71" spans="2:21">
      <c r="B71" s="53" t="s">
        <v>381</v>
      </c>
      <c r="C71" s="74" t="s">
        <v>100</v>
      </c>
      <c r="D71" s="75"/>
      <c r="E71" s="76">
        <v>11401</v>
      </c>
      <c r="F71" s="75"/>
      <c r="G71" s="76">
        <v>47662892</v>
      </c>
      <c r="H71" s="53"/>
      <c r="I71" s="76">
        <v>-55696162</v>
      </c>
      <c r="J71" s="75"/>
      <c r="K71" s="76">
        <f t="shared" si="1"/>
        <v>-8033270</v>
      </c>
      <c r="L71" s="76"/>
      <c r="M71" s="53">
        <v>144862</v>
      </c>
      <c r="N71" s="76"/>
      <c r="O71" s="76">
        <v>639725123</v>
      </c>
      <c r="P71" s="75"/>
      <c r="Q71" s="76">
        <v>-827413422</v>
      </c>
      <c r="R71" s="76"/>
      <c r="S71" s="76">
        <f t="shared" si="4"/>
        <v>-187688299</v>
      </c>
      <c r="T71" s="70"/>
      <c r="U71" s="111"/>
    </row>
    <row r="72" spans="2:21">
      <c r="B72" s="53" t="s">
        <v>380</v>
      </c>
      <c r="C72" s="74" t="s">
        <v>102</v>
      </c>
      <c r="D72" s="75"/>
      <c r="E72" s="76">
        <v>16079</v>
      </c>
      <c r="F72" s="75"/>
      <c r="G72" s="76">
        <v>115764945</v>
      </c>
      <c r="H72" s="53"/>
      <c r="I72" s="76">
        <v>-108994101</v>
      </c>
      <c r="J72" s="75"/>
      <c r="K72" s="76">
        <f t="shared" si="1"/>
        <v>6770844</v>
      </c>
      <c r="L72" s="76"/>
      <c r="M72" s="53">
        <v>216438</v>
      </c>
      <c r="N72" s="76"/>
      <c r="O72" s="76">
        <v>1515521182</v>
      </c>
      <c r="P72" s="75"/>
      <c r="Q72" s="76">
        <v>-1495327647</v>
      </c>
      <c r="R72" s="76"/>
      <c r="S72" s="76">
        <f t="shared" si="4"/>
        <v>20193535</v>
      </c>
      <c r="T72" s="70"/>
      <c r="U72" s="111"/>
    </row>
    <row r="73" spans="2:21">
      <c r="B73" s="53" t="s">
        <v>379</v>
      </c>
      <c r="C73" s="74" t="s">
        <v>229</v>
      </c>
      <c r="D73" s="75"/>
      <c r="E73" s="76">
        <v>14152</v>
      </c>
      <c r="F73" s="75"/>
      <c r="G73" s="76">
        <v>52034910</v>
      </c>
      <c r="H73" s="53"/>
      <c r="I73" s="76">
        <v>-61248343</v>
      </c>
      <c r="J73" s="75"/>
      <c r="K73" s="76">
        <f t="shared" ref="K73:K136" si="5">I73+G73</f>
        <v>-9213433</v>
      </c>
      <c r="L73" s="76"/>
      <c r="M73" s="53">
        <v>204493</v>
      </c>
      <c r="N73" s="76"/>
      <c r="O73" s="76">
        <v>718332926</v>
      </c>
      <c r="P73" s="75"/>
      <c r="Q73" s="76">
        <v>-916403421</v>
      </c>
      <c r="R73" s="76"/>
      <c r="S73" s="76">
        <f t="shared" si="4"/>
        <v>-198070495</v>
      </c>
      <c r="T73" s="70"/>
      <c r="U73" s="111"/>
    </row>
    <row r="74" spans="2:21">
      <c r="B74" s="53" t="s">
        <v>378</v>
      </c>
      <c r="C74" s="74" t="s">
        <v>98</v>
      </c>
      <c r="D74" s="75"/>
      <c r="E74" s="76">
        <v>16336</v>
      </c>
      <c r="F74" s="75"/>
      <c r="G74" s="76">
        <v>340956201</v>
      </c>
      <c r="H74" s="53"/>
      <c r="I74" s="76">
        <v>-335150254</v>
      </c>
      <c r="J74" s="75"/>
      <c r="K74" s="76">
        <f t="shared" si="5"/>
        <v>5805947</v>
      </c>
      <c r="L74" s="76"/>
      <c r="M74" s="53">
        <v>95307</v>
      </c>
      <c r="N74" s="76"/>
      <c r="O74" s="76">
        <v>1828111812</v>
      </c>
      <c r="P74" s="75"/>
      <c r="Q74" s="76">
        <v>-1955416677</v>
      </c>
      <c r="R74" s="76"/>
      <c r="S74" s="76">
        <f t="shared" si="4"/>
        <v>-127304865</v>
      </c>
      <c r="T74" s="70"/>
      <c r="U74" s="111"/>
    </row>
    <row r="75" spans="2:21">
      <c r="B75" s="53" t="s">
        <v>377</v>
      </c>
      <c r="C75" s="74" t="s">
        <v>153</v>
      </c>
      <c r="D75" s="75"/>
      <c r="E75" s="76">
        <v>3778</v>
      </c>
      <c r="F75" s="75"/>
      <c r="G75" s="76">
        <v>50006508</v>
      </c>
      <c r="H75" s="53"/>
      <c r="I75" s="76">
        <v>-61266973</v>
      </c>
      <c r="J75" s="75"/>
      <c r="K75" s="76">
        <f t="shared" si="5"/>
        <v>-11260465</v>
      </c>
      <c r="L75" s="76"/>
      <c r="M75" s="53">
        <v>134185</v>
      </c>
      <c r="N75" s="76"/>
      <c r="O75" s="76">
        <v>1595033490</v>
      </c>
      <c r="P75" s="75"/>
      <c r="Q75" s="76">
        <v>-2179737182</v>
      </c>
      <c r="R75" s="76"/>
      <c r="S75" s="76">
        <f t="shared" si="4"/>
        <v>-584703692</v>
      </c>
      <c r="T75" s="70"/>
      <c r="U75" s="111"/>
    </row>
    <row r="76" spans="2:21">
      <c r="B76" s="53" t="s">
        <v>376</v>
      </c>
      <c r="C76" s="74" t="s">
        <v>105</v>
      </c>
      <c r="D76" s="75"/>
      <c r="E76" s="76">
        <v>33330</v>
      </c>
      <c r="F76" s="75"/>
      <c r="G76" s="76">
        <v>87764382</v>
      </c>
      <c r="H76" s="53"/>
      <c r="I76" s="76">
        <v>-84443389</v>
      </c>
      <c r="J76" s="75"/>
      <c r="K76" s="76">
        <f t="shared" si="5"/>
        <v>3320993</v>
      </c>
      <c r="L76" s="76"/>
      <c r="M76" s="53">
        <v>543659</v>
      </c>
      <c r="N76" s="76"/>
      <c r="O76" s="76">
        <v>1479762343</v>
      </c>
      <c r="P76" s="75"/>
      <c r="Q76" s="76">
        <v>-1436302850</v>
      </c>
      <c r="R76" s="76"/>
      <c r="S76" s="76">
        <f t="shared" si="4"/>
        <v>43459493</v>
      </c>
      <c r="T76" s="70"/>
      <c r="U76" s="111"/>
    </row>
    <row r="77" spans="2:21">
      <c r="B77" s="53" t="s">
        <v>375</v>
      </c>
      <c r="C77" s="74" t="s">
        <v>124</v>
      </c>
      <c r="D77" s="75"/>
      <c r="E77" s="76">
        <v>5115</v>
      </c>
      <c r="F77" s="75"/>
      <c r="G77" s="76">
        <v>79856642</v>
      </c>
      <c r="H77" s="53"/>
      <c r="I77" s="76">
        <v>-75964032</v>
      </c>
      <c r="J77" s="75"/>
      <c r="K77" s="76">
        <f t="shared" si="5"/>
        <v>3892610</v>
      </c>
      <c r="L77" s="76"/>
      <c r="M77" s="53">
        <v>88429</v>
      </c>
      <c r="N77" s="76"/>
      <c r="O77" s="76">
        <v>1346174956</v>
      </c>
      <c r="P77" s="75"/>
      <c r="Q77" s="76">
        <v>-1317880364</v>
      </c>
      <c r="R77" s="76"/>
      <c r="S77" s="76">
        <f t="shared" si="4"/>
        <v>28294592</v>
      </c>
      <c r="T77" s="70"/>
      <c r="U77" s="111"/>
    </row>
    <row r="78" spans="2:21">
      <c r="B78" s="53" t="s">
        <v>374</v>
      </c>
      <c r="C78" s="74" t="s">
        <v>211</v>
      </c>
      <c r="D78" s="75"/>
      <c r="E78" s="76">
        <v>7701</v>
      </c>
      <c r="F78" s="75"/>
      <c r="G78" s="76">
        <v>70644853</v>
      </c>
      <c r="H78" s="53"/>
      <c r="I78" s="76">
        <v>-73915318</v>
      </c>
      <c r="J78" s="75"/>
      <c r="K78" s="76">
        <f t="shared" si="5"/>
        <v>-3270465</v>
      </c>
      <c r="L78" s="76"/>
      <c r="M78" s="53">
        <v>79669</v>
      </c>
      <c r="N78" s="76"/>
      <c r="O78" s="76">
        <v>783772336</v>
      </c>
      <c r="P78" s="75"/>
      <c r="Q78" s="76">
        <v>-839677972</v>
      </c>
      <c r="R78" s="76"/>
      <c r="S78" s="76">
        <f t="shared" si="4"/>
        <v>-55905636</v>
      </c>
      <c r="T78" s="70"/>
      <c r="U78" s="111"/>
    </row>
    <row r="79" spans="2:21">
      <c r="B79" s="53" t="s">
        <v>373</v>
      </c>
      <c r="C79" s="74" t="s">
        <v>145</v>
      </c>
      <c r="D79" s="75"/>
      <c r="E79" s="76">
        <v>21633</v>
      </c>
      <c r="F79" s="75"/>
      <c r="G79" s="76">
        <v>216243572</v>
      </c>
      <c r="H79" s="53"/>
      <c r="I79" s="76">
        <v>-217119976</v>
      </c>
      <c r="J79" s="75"/>
      <c r="K79" s="76">
        <f t="shared" si="5"/>
        <v>-876404</v>
      </c>
      <c r="L79" s="76"/>
      <c r="M79" s="53">
        <v>346794</v>
      </c>
      <c r="N79" s="76"/>
      <c r="O79" s="76">
        <v>3283776237</v>
      </c>
      <c r="P79" s="75"/>
      <c r="Q79" s="76">
        <v>-3466350615</v>
      </c>
      <c r="R79" s="76"/>
      <c r="S79" s="76">
        <f t="shared" si="4"/>
        <v>-182574378</v>
      </c>
      <c r="T79" s="70"/>
      <c r="U79" s="111"/>
    </row>
    <row r="80" spans="2:21">
      <c r="B80" s="53" t="s">
        <v>372</v>
      </c>
      <c r="C80" s="74" t="s">
        <v>169</v>
      </c>
      <c r="D80" s="75"/>
      <c r="E80" s="76">
        <v>57285</v>
      </c>
      <c r="F80" s="75"/>
      <c r="G80" s="76">
        <v>224819466</v>
      </c>
      <c r="H80" s="53"/>
      <c r="I80" s="76">
        <v>-162436696</v>
      </c>
      <c r="J80" s="75"/>
      <c r="K80" s="76">
        <f t="shared" si="5"/>
        <v>62382770</v>
      </c>
      <c r="L80" s="76"/>
      <c r="M80" s="53">
        <v>814745</v>
      </c>
      <c r="N80" s="76"/>
      <c r="O80" s="76">
        <v>2673308821</v>
      </c>
      <c r="P80" s="75"/>
      <c r="Q80" s="76">
        <v>-2481100862</v>
      </c>
      <c r="R80" s="76"/>
      <c r="S80" s="76">
        <f t="shared" si="4"/>
        <v>192207959</v>
      </c>
      <c r="T80" s="70"/>
      <c r="U80" s="111"/>
    </row>
    <row r="81" spans="2:21">
      <c r="B81" s="53" t="s">
        <v>371</v>
      </c>
      <c r="C81" s="74" t="s">
        <v>164</v>
      </c>
      <c r="D81" s="75"/>
      <c r="E81" s="76">
        <v>4524</v>
      </c>
      <c r="F81" s="75"/>
      <c r="G81" s="76">
        <v>281312192</v>
      </c>
      <c r="H81" s="53"/>
      <c r="I81" s="76">
        <v>-267994630</v>
      </c>
      <c r="J81" s="75"/>
      <c r="K81" s="76">
        <f t="shared" si="5"/>
        <v>13317562</v>
      </c>
      <c r="L81" s="76"/>
      <c r="M81" s="53">
        <v>56925</v>
      </c>
      <c r="N81" s="76"/>
      <c r="O81" s="76">
        <v>3271273713</v>
      </c>
      <c r="P81" s="75"/>
      <c r="Q81" s="76">
        <v>-3348422107</v>
      </c>
      <c r="R81" s="76"/>
      <c r="S81" s="76">
        <f t="shared" si="4"/>
        <v>-77148394</v>
      </c>
      <c r="T81" s="70"/>
      <c r="U81" s="111"/>
    </row>
    <row r="82" spans="2:21">
      <c r="B82" s="53" t="s">
        <v>370</v>
      </c>
      <c r="C82" s="74" t="s">
        <v>198</v>
      </c>
      <c r="D82" s="75"/>
      <c r="E82" s="76">
        <v>123407</v>
      </c>
      <c r="F82" s="75"/>
      <c r="G82" s="76">
        <v>2511595887</v>
      </c>
      <c r="H82" s="53"/>
      <c r="I82" s="76">
        <v>-1726046941</v>
      </c>
      <c r="J82" s="75"/>
      <c r="K82" s="76">
        <f t="shared" si="5"/>
        <v>785548946</v>
      </c>
      <c r="L82" s="76"/>
      <c r="M82" s="53">
        <v>439454</v>
      </c>
      <c r="N82" s="76"/>
      <c r="O82" s="76">
        <v>7556411108</v>
      </c>
      <c r="P82" s="75"/>
      <c r="Q82" s="76">
        <v>-6527229049</v>
      </c>
      <c r="R82" s="76"/>
      <c r="S82" s="76">
        <f t="shared" si="4"/>
        <v>1029182059</v>
      </c>
      <c r="T82" s="70"/>
      <c r="U82" s="111"/>
    </row>
    <row r="83" spans="2:21">
      <c r="B83" s="53" t="s">
        <v>467</v>
      </c>
      <c r="C83" s="74" t="s">
        <v>456</v>
      </c>
      <c r="D83" s="75"/>
      <c r="E83" s="76"/>
      <c r="F83" s="75"/>
      <c r="G83" s="76"/>
      <c r="H83" s="53"/>
      <c r="I83" s="76"/>
      <c r="J83" s="75"/>
      <c r="K83" s="76">
        <f t="shared" si="5"/>
        <v>0</v>
      </c>
      <c r="L83" s="76"/>
      <c r="M83" s="53">
        <v>5839</v>
      </c>
      <c r="N83" s="76"/>
      <c r="O83" s="76">
        <v>53167949</v>
      </c>
      <c r="P83" s="75"/>
      <c r="Q83" s="76">
        <v>-74359610</v>
      </c>
      <c r="R83" s="76"/>
      <c r="S83" s="76">
        <f t="shared" si="4"/>
        <v>-21191661</v>
      </c>
      <c r="T83" s="70"/>
      <c r="U83" s="111"/>
    </row>
    <row r="84" spans="2:21">
      <c r="B84" s="53" t="s">
        <v>369</v>
      </c>
      <c r="C84" s="74" t="s">
        <v>220</v>
      </c>
      <c r="D84" s="75"/>
      <c r="E84" s="76">
        <v>12178</v>
      </c>
      <c r="F84" s="75"/>
      <c r="G84" s="76">
        <v>125318255</v>
      </c>
      <c r="H84" s="53"/>
      <c r="I84" s="76">
        <v>-134564284</v>
      </c>
      <c r="J84" s="75"/>
      <c r="K84" s="76">
        <f t="shared" si="5"/>
        <v>-9246029</v>
      </c>
      <c r="L84" s="76"/>
      <c r="M84" s="53">
        <v>246934</v>
      </c>
      <c r="N84" s="76"/>
      <c r="O84" s="76">
        <v>2513948205</v>
      </c>
      <c r="P84" s="75"/>
      <c r="Q84" s="76">
        <v>-2760371715</v>
      </c>
      <c r="R84" s="76"/>
      <c r="S84" s="76">
        <f t="shared" si="4"/>
        <v>-246423510</v>
      </c>
      <c r="T84" s="70"/>
      <c r="U84" s="111"/>
    </row>
    <row r="85" spans="2:21">
      <c r="B85" s="53" t="s">
        <v>368</v>
      </c>
      <c r="C85" s="74" t="s">
        <v>256</v>
      </c>
      <c r="D85" s="75"/>
      <c r="E85" s="76">
        <v>35758</v>
      </c>
      <c r="F85" s="75"/>
      <c r="G85" s="76">
        <v>47397740</v>
      </c>
      <c r="H85" s="53"/>
      <c r="I85" s="76">
        <v>-43165329</v>
      </c>
      <c r="J85" s="75"/>
      <c r="K85" s="76">
        <f t="shared" si="5"/>
        <v>4232411</v>
      </c>
      <c r="L85" s="76"/>
      <c r="M85" s="53">
        <v>487168</v>
      </c>
      <c r="N85" s="76"/>
      <c r="O85" s="76">
        <v>645008816</v>
      </c>
      <c r="P85" s="75"/>
      <c r="Q85" s="76">
        <v>-603466915</v>
      </c>
      <c r="R85" s="76"/>
      <c r="S85" s="76">
        <f t="shared" si="4"/>
        <v>41541901</v>
      </c>
      <c r="T85" s="70"/>
      <c r="U85" s="111"/>
    </row>
    <row r="86" spans="2:21">
      <c r="B86" s="53" t="s">
        <v>509</v>
      </c>
      <c r="C86" s="74" t="s">
        <v>490</v>
      </c>
      <c r="D86" s="75"/>
      <c r="E86" s="76">
        <v>60464</v>
      </c>
      <c r="F86" s="75"/>
      <c r="G86" s="76">
        <v>101950085</v>
      </c>
      <c r="H86" s="53"/>
      <c r="I86" s="76">
        <v>-90516560</v>
      </c>
      <c r="J86" s="75"/>
      <c r="K86" s="76">
        <f t="shared" si="5"/>
        <v>11433525</v>
      </c>
      <c r="L86" s="76"/>
      <c r="M86" s="53">
        <v>609839</v>
      </c>
      <c r="N86" s="76"/>
      <c r="O86" s="76">
        <v>1003015333</v>
      </c>
      <c r="P86" s="75"/>
      <c r="Q86" s="76">
        <v>-862982221</v>
      </c>
      <c r="R86" s="76"/>
      <c r="S86" s="76">
        <f t="shared" si="4"/>
        <v>140033112</v>
      </c>
      <c r="T86" s="70"/>
      <c r="U86" s="111"/>
    </row>
    <row r="87" spans="2:21">
      <c r="B87" s="53" t="s">
        <v>367</v>
      </c>
      <c r="C87" s="74" t="s">
        <v>218</v>
      </c>
      <c r="D87" s="75"/>
      <c r="E87" s="76">
        <v>20263</v>
      </c>
      <c r="F87" s="75"/>
      <c r="G87" s="76">
        <v>119073883</v>
      </c>
      <c r="H87" s="53"/>
      <c r="I87" s="76">
        <v>-101390942</v>
      </c>
      <c r="J87" s="75"/>
      <c r="K87" s="76">
        <f t="shared" si="5"/>
        <v>17682941</v>
      </c>
      <c r="L87" s="76"/>
      <c r="M87" s="53">
        <v>663507</v>
      </c>
      <c r="N87" s="76"/>
      <c r="O87" s="76">
        <v>3771885827</v>
      </c>
      <c r="P87" s="75"/>
      <c r="Q87" s="76">
        <v>-3278872693</v>
      </c>
      <c r="R87" s="76"/>
      <c r="S87" s="76">
        <f t="shared" si="4"/>
        <v>493013134</v>
      </c>
      <c r="T87" s="70"/>
      <c r="U87" s="111"/>
    </row>
    <row r="88" spans="2:21">
      <c r="B88" s="53" t="s">
        <v>508</v>
      </c>
      <c r="C88" s="74" t="s">
        <v>489</v>
      </c>
      <c r="D88" s="75"/>
      <c r="E88" s="76">
        <v>5355</v>
      </c>
      <c r="F88" s="75"/>
      <c r="G88" s="76">
        <v>92754630</v>
      </c>
      <c r="H88" s="53"/>
      <c r="I88" s="76">
        <v>-68480266</v>
      </c>
      <c r="J88" s="75"/>
      <c r="K88" s="76">
        <f t="shared" si="5"/>
        <v>24274364</v>
      </c>
      <c r="L88" s="76"/>
      <c r="M88" s="53">
        <v>52633</v>
      </c>
      <c r="N88" s="76"/>
      <c r="O88" s="76">
        <v>747393817</v>
      </c>
      <c r="P88" s="75"/>
      <c r="Q88" s="76">
        <v>-670941490</v>
      </c>
      <c r="R88" s="76"/>
      <c r="S88" s="76">
        <f t="shared" si="4"/>
        <v>76452327</v>
      </c>
      <c r="T88" s="70"/>
      <c r="U88" s="111"/>
    </row>
    <row r="89" spans="2:21">
      <c r="B89" s="53" t="s">
        <v>507</v>
      </c>
      <c r="C89" s="74" t="s">
        <v>488</v>
      </c>
      <c r="D89" s="75"/>
      <c r="E89" s="76">
        <v>5168</v>
      </c>
      <c r="F89" s="75"/>
      <c r="G89" s="76">
        <v>119425356</v>
      </c>
      <c r="H89" s="53"/>
      <c r="I89" s="76">
        <v>-108357478</v>
      </c>
      <c r="J89" s="75"/>
      <c r="K89" s="76">
        <f t="shared" si="5"/>
        <v>11067878</v>
      </c>
      <c r="L89" s="76"/>
      <c r="M89" s="53">
        <v>58002</v>
      </c>
      <c r="N89" s="76"/>
      <c r="O89" s="76">
        <v>1317755231</v>
      </c>
      <c r="P89" s="75"/>
      <c r="Q89" s="76">
        <v>-1214179230</v>
      </c>
      <c r="R89" s="76"/>
      <c r="S89" s="76">
        <f t="shared" si="4"/>
        <v>103576001</v>
      </c>
      <c r="T89" s="70"/>
      <c r="U89" s="111"/>
    </row>
    <row r="90" spans="2:21">
      <c r="B90" s="53" t="s">
        <v>366</v>
      </c>
      <c r="C90" s="74" t="s">
        <v>189</v>
      </c>
      <c r="D90" s="75"/>
      <c r="E90" s="76">
        <v>4357</v>
      </c>
      <c r="F90" s="75"/>
      <c r="G90" s="76">
        <v>158633181</v>
      </c>
      <c r="H90" s="53"/>
      <c r="I90" s="76">
        <v>-130946274</v>
      </c>
      <c r="J90" s="75"/>
      <c r="K90" s="76">
        <f t="shared" si="5"/>
        <v>27686907</v>
      </c>
      <c r="L90" s="76"/>
      <c r="M90" s="53">
        <v>72304</v>
      </c>
      <c r="N90" s="76"/>
      <c r="O90" s="76">
        <v>2438474399</v>
      </c>
      <c r="P90" s="75"/>
      <c r="Q90" s="76">
        <v>-2175707162</v>
      </c>
      <c r="R90" s="76"/>
      <c r="S90" s="76">
        <f t="shared" si="4"/>
        <v>262767237</v>
      </c>
      <c r="T90" s="70"/>
      <c r="U90" s="111"/>
    </row>
    <row r="91" spans="2:21">
      <c r="B91" s="53" t="s">
        <v>365</v>
      </c>
      <c r="C91" s="74" t="s">
        <v>187</v>
      </c>
      <c r="D91" s="75"/>
      <c r="E91" s="76">
        <v>119054</v>
      </c>
      <c r="F91" s="75"/>
      <c r="G91" s="76">
        <v>1772513761</v>
      </c>
      <c r="H91" s="53"/>
      <c r="I91" s="76">
        <v>-1594849937</v>
      </c>
      <c r="J91" s="75"/>
      <c r="K91" s="76">
        <f t="shared" si="5"/>
        <v>177663824</v>
      </c>
      <c r="L91" s="76"/>
      <c r="M91" s="53">
        <v>587018</v>
      </c>
      <c r="N91" s="76"/>
      <c r="O91" s="76">
        <v>8418784291</v>
      </c>
      <c r="P91" s="75"/>
      <c r="Q91" s="76">
        <v>-7715521123</v>
      </c>
      <c r="R91" s="76"/>
      <c r="S91" s="76">
        <f t="shared" si="4"/>
        <v>703263168</v>
      </c>
      <c r="T91" s="70"/>
      <c r="U91" s="111"/>
    </row>
    <row r="92" spans="2:21">
      <c r="B92" s="53" t="s">
        <v>364</v>
      </c>
      <c r="C92" s="74" t="s">
        <v>106</v>
      </c>
      <c r="D92" s="75"/>
      <c r="E92" s="76">
        <v>735692</v>
      </c>
      <c r="F92" s="75"/>
      <c r="G92" s="76">
        <v>15878218798</v>
      </c>
      <c r="H92" s="53"/>
      <c r="I92" s="76">
        <v>-13401493707</v>
      </c>
      <c r="J92" s="75"/>
      <c r="K92" s="76">
        <f t="shared" si="5"/>
        <v>2476725091</v>
      </c>
      <c r="L92" s="76"/>
      <c r="M92" s="53">
        <v>1093742</v>
      </c>
      <c r="N92" s="76"/>
      <c r="O92" s="76">
        <v>22461350622</v>
      </c>
      <c r="P92" s="75"/>
      <c r="Q92" s="76">
        <v>-19982032488</v>
      </c>
      <c r="R92" s="76"/>
      <c r="S92" s="76">
        <f t="shared" si="4"/>
        <v>2479318134</v>
      </c>
      <c r="T92" s="70"/>
      <c r="U92" s="111"/>
    </row>
    <row r="93" spans="2:21">
      <c r="B93" s="53" t="s">
        <v>363</v>
      </c>
      <c r="C93" s="74" t="s">
        <v>91</v>
      </c>
      <c r="D93" s="75"/>
      <c r="E93" s="76"/>
      <c r="F93" s="75"/>
      <c r="G93" s="76"/>
      <c r="H93" s="53"/>
      <c r="I93" s="76"/>
      <c r="J93" s="75"/>
      <c r="K93" s="76">
        <f t="shared" si="5"/>
        <v>0</v>
      </c>
      <c r="L93" s="76"/>
      <c r="M93" s="53">
        <v>263312</v>
      </c>
      <c r="N93" s="76"/>
      <c r="O93" s="76">
        <v>5308591938</v>
      </c>
      <c r="P93" s="75"/>
      <c r="Q93" s="76">
        <v>-4775358611</v>
      </c>
      <c r="R93" s="76"/>
      <c r="S93" s="76">
        <f t="shared" si="4"/>
        <v>533233327</v>
      </c>
      <c r="T93" s="70"/>
      <c r="U93" s="111"/>
    </row>
    <row r="94" spans="2:21">
      <c r="B94" s="53" t="s">
        <v>362</v>
      </c>
      <c r="C94" s="74" t="s">
        <v>104</v>
      </c>
      <c r="D94" s="75"/>
      <c r="E94" s="76">
        <v>68862</v>
      </c>
      <c r="F94" s="75"/>
      <c r="G94" s="76">
        <v>1543261059</v>
      </c>
      <c r="H94" s="53"/>
      <c r="I94" s="76">
        <v>-1445780037</v>
      </c>
      <c r="J94" s="75"/>
      <c r="K94" s="76">
        <f t="shared" si="5"/>
        <v>97481022</v>
      </c>
      <c r="L94" s="76"/>
      <c r="M94" s="53">
        <v>229249</v>
      </c>
      <c r="N94" s="76"/>
      <c r="O94" s="76">
        <v>4725596930</v>
      </c>
      <c r="P94" s="75"/>
      <c r="Q94" s="76">
        <v>-4802278404</v>
      </c>
      <c r="R94" s="76"/>
      <c r="S94" s="76">
        <f t="shared" si="4"/>
        <v>-76681474</v>
      </c>
      <c r="T94" s="70"/>
      <c r="U94" s="111"/>
    </row>
    <row r="95" spans="2:21">
      <c r="B95" s="53" t="s">
        <v>361</v>
      </c>
      <c r="C95" s="74" t="s">
        <v>195</v>
      </c>
      <c r="D95" s="75"/>
      <c r="E95" s="76"/>
      <c r="F95" s="75"/>
      <c r="G95" s="76"/>
      <c r="H95" s="53"/>
      <c r="I95" s="76"/>
      <c r="J95" s="75"/>
      <c r="K95" s="76">
        <f t="shared" si="5"/>
        <v>0</v>
      </c>
      <c r="L95" s="76"/>
      <c r="M95" s="53">
        <v>510577</v>
      </c>
      <c r="N95" s="76"/>
      <c r="O95" s="76">
        <v>9986557560</v>
      </c>
      <c r="P95" s="75"/>
      <c r="Q95" s="76">
        <v>-11638321230</v>
      </c>
      <c r="R95" s="76"/>
      <c r="S95" s="76">
        <f t="shared" si="4"/>
        <v>-1651763670</v>
      </c>
      <c r="T95" s="70"/>
      <c r="U95" s="111"/>
    </row>
    <row r="96" spans="2:21">
      <c r="B96" s="53" t="s">
        <v>360</v>
      </c>
      <c r="C96" s="74" t="s">
        <v>215</v>
      </c>
      <c r="D96" s="75"/>
      <c r="E96" s="76">
        <v>159581</v>
      </c>
      <c r="F96" s="75"/>
      <c r="G96" s="76">
        <v>5002082148</v>
      </c>
      <c r="H96" s="53"/>
      <c r="I96" s="76">
        <v>-3875061307</v>
      </c>
      <c r="J96" s="75"/>
      <c r="K96" s="76">
        <f t="shared" si="5"/>
        <v>1127020841</v>
      </c>
      <c r="L96" s="76"/>
      <c r="M96" s="53">
        <v>515176</v>
      </c>
      <c r="N96" s="76"/>
      <c r="O96" s="76">
        <v>14505346399</v>
      </c>
      <c r="P96" s="75"/>
      <c r="Q96" s="76">
        <v>-12521233420</v>
      </c>
      <c r="R96" s="76"/>
      <c r="S96" s="76">
        <f t="shared" si="4"/>
        <v>1984112979</v>
      </c>
      <c r="T96" s="70"/>
      <c r="U96" s="111"/>
    </row>
    <row r="97" spans="2:21">
      <c r="B97" s="53" t="s">
        <v>359</v>
      </c>
      <c r="C97" s="74" t="s">
        <v>199</v>
      </c>
      <c r="D97" s="75"/>
      <c r="E97" s="76">
        <v>2108</v>
      </c>
      <c r="F97" s="75"/>
      <c r="G97" s="76">
        <v>132910440</v>
      </c>
      <c r="H97" s="53"/>
      <c r="I97" s="76">
        <v>-128374160</v>
      </c>
      <c r="J97" s="75"/>
      <c r="K97" s="76">
        <f t="shared" si="5"/>
        <v>4536280</v>
      </c>
      <c r="L97" s="76"/>
      <c r="M97" s="53">
        <v>32987</v>
      </c>
      <c r="N97" s="76"/>
      <c r="O97" s="76">
        <v>2049612204</v>
      </c>
      <c r="P97" s="75"/>
      <c r="Q97" s="76">
        <v>-2009347310</v>
      </c>
      <c r="R97" s="76"/>
      <c r="S97" s="76">
        <f t="shared" si="4"/>
        <v>40264894</v>
      </c>
      <c r="T97" s="70"/>
      <c r="U97" s="111"/>
    </row>
    <row r="98" spans="2:21">
      <c r="B98" s="53" t="s">
        <v>358</v>
      </c>
      <c r="C98" s="74" t="s">
        <v>141</v>
      </c>
      <c r="D98" s="75"/>
      <c r="E98" s="76">
        <v>3531</v>
      </c>
      <c r="F98" s="75"/>
      <c r="G98" s="76">
        <v>114545671</v>
      </c>
      <c r="H98" s="53"/>
      <c r="I98" s="76">
        <v>-118333059</v>
      </c>
      <c r="J98" s="75"/>
      <c r="K98" s="76">
        <f t="shared" si="5"/>
        <v>-3787388</v>
      </c>
      <c r="L98" s="76"/>
      <c r="M98" s="53">
        <v>103446</v>
      </c>
      <c r="N98" s="76"/>
      <c r="O98" s="76">
        <v>3149022052</v>
      </c>
      <c r="P98" s="75"/>
      <c r="Q98" s="76">
        <v>-3463515405</v>
      </c>
      <c r="R98" s="76"/>
      <c r="S98" s="76">
        <f t="shared" si="4"/>
        <v>-314493353</v>
      </c>
      <c r="T98" s="70"/>
      <c r="U98" s="111"/>
    </row>
    <row r="99" spans="2:21">
      <c r="B99" s="53" t="s">
        <v>357</v>
      </c>
      <c r="C99" s="74" t="s">
        <v>196</v>
      </c>
      <c r="D99" s="75"/>
      <c r="E99" s="76"/>
      <c r="F99" s="75"/>
      <c r="G99" s="76"/>
      <c r="H99" s="53"/>
      <c r="I99" s="76"/>
      <c r="J99" s="75"/>
      <c r="K99" s="76">
        <f t="shared" si="5"/>
        <v>0</v>
      </c>
      <c r="L99" s="76"/>
      <c r="M99" s="53">
        <v>181052</v>
      </c>
      <c r="N99" s="76"/>
      <c r="O99" s="76">
        <v>7029037778</v>
      </c>
      <c r="P99" s="75"/>
      <c r="Q99" s="76">
        <v>-7873192505</v>
      </c>
      <c r="R99" s="76"/>
      <c r="S99" s="76">
        <f t="shared" si="4"/>
        <v>-844154727</v>
      </c>
      <c r="T99" s="70"/>
      <c r="U99" s="111"/>
    </row>
    <row r="100" spans="2:21">
      <c r="B100" s="53" t="s">
        <v>715</v>
      </c>
      <c r="C100" s="74" t="s">
        <v>517</v>
      </c>
      <c r="D100" s="75"/>
      <c r="E100" s="76">
        <v>19422</v>
      </c>
      <c r="F100" s="75"/>
      <c r="G100" s="76">
        <v>256716377</v>
      </c>
      <c r="H100" s="53"/>
      <c r="I100" s="76">
        <v>-253065482</v>
      </c>
      <c r="J100" s="75"/>
      <c r="K100" s="76">
        <f t="shared" si="5"/>
        <v>3650895</v>
      </c>
      <c r="L100" s="76"/>
      <c r="M100" s="53">
        <v>115070</v>
      </c>
      <c r="N100" s="76"/>
      <c r="O100" s="76">
        <v>1505685023</v>
      </c>
      <c r="P100" s="75"/>
      <c r="Q100" s="76">
        <v>-1450584019</v>
      </c>
      <c r="R100" s="76"/>
      <c r="S100" s="76">
        <f t="shared" si="4"/>
        <v>55101004</v>
      </c>
      <c r="T100" s="70"/>
      <c r="U100" s="111"/>
    </row>
    <row r="101" spans="2:21">
      <c r="B101" s="53" t="s">
        <v>356</v>
      </c>
      <c r="C101" s="74" t="s">
        <v>107</v>
      </c>
      <c r="D101" s="75"/>
      <c r="E101" s="76"/>
      <c r="F101" s="75"/>
      <c r="G101" s="76"/>
      <c r="H101" s="53"/>
      <c r="I101" s="76"/>
      <c r="J101" s="75"/>
      <c r="K101" s="76">
        <f t="shared" si="5"/>
        <v>0</v>
      </c>
      <c r="L101" s="76"/>
      <c r="M101" s="53">
        <v>234760</v>
      </c>
      <c r="N101" s="76"/>
      <c r="O101" s="76">
        <v>6389539493</v>
      </c>
      <c r="P101" s="75"/>
      <c r="Q101" s="76">
        <v>-7465036939</v>
      </c>
      <c r="R101" s="76"/>
      <c r="S101" s="76">
        <f t="shared" si="4"/>
        <v>-1075497446</v>
      </c>
      <c r="T101" s="70"/>
      <c r="U101" s="111"/>
    </row>
    <row r="102" spans="2:21">
      <c r="B102" s="53" t="s">
        <v>355</v>
      </c>
      <c r="C102" s="74" t="s">
        <v>122</v>
      </c>
      <c r="D102" s="75"/>
      <c r="E102" s="76">
        <v>17312</v>
      </c>
      <c r="F102" s="75"/>
      <c r="G102" s="76">
        <v>142304223</v>
      </c>
      <c r="H102" s="53"/>
      <c r="I102" s="76">
        <v>-128800595</v>
      </c>
      <c r="J102" s="75"/>
      <c r="K102" s="76">
        <f t="shared" si="5"/>
        <v>13503628</v>
      </c>
      <c r="L102" s="76"/>
      <c r="M102" s="53">
        <v>400460</v>
      </c>
      <c r="N102" s="76"/>
      <c r="O102" s="76">
        <v>2992112608</v>
      </c>
      <c r="P102" s="75"/>
      <c r="Q102" s="76">
        <v>-2979347039</v>
      </c>
      <c r="R102" s="76"/>
      <c r="S102" s="76">
        <f t="shared" si="4"/>
        <v>12765569</v>
      </c>
      <c r="T102" s="70"/>
      <c r="U102" s="111"/>
    </row>
    <row r="103" spans="2:21">
      <c r="B103" s="53" t="s">
        <v>354</v>
      </c>
      <c r="C103" s="74" t="s">
        <v>264</v>
      </c>
      <c r="D103" s="75"/>
      <c r="E103" s="76">
        <v>2488</v>
      </c>
      <c r="F103" s="75"/>
      <c r="G103" s="76">
        <v>56057354</v>
      </c>
      <c r="H103" s="53"/>
      <c r="I103" s="76">
        <v>-57691376</v>
      </c>
      <c r="J103" s="75"/>
      <c r="K103" s="76">
        <f t="shared" si="5"/>
        <v>-1634022</v>
      </c>
      <c r="L103" s="76"/>
      <c r="M103" s="53">
        <v>26793</v>
      </c>
      <c r="N103" s="76"/>
      <c r="O103" s="76">
        <v>615963716</v>
      </c>
      <c r="P103" s="75"/>
      <c r="Q103" s="76">
        <v>-617278302</v>
      </c>
      <c r="R103" s="76"/>
      <c r="S103" s="76">
        <f t="shared" si="4"/>
        <v>-1314586</v>
      </c>
      <c r="T103" s="70"/>
      <c r="U103" s="111"/>
    </row>
    <row r="104" spans="2:21">
      <c r="B104" s="53" t="s">
        <v>451</v>
      </c>
      <c r="C104" s="74" t="s">
        <v>276</v>
      </c>
      <c r="D104" s="75"/>
      <c r="E104" s="76"/>
      <c r="F104" s="75"/>
      <c r="G104" s="76"/>
      <c r="H104" s="53"/>
      <c r="I104" s="76"/>
      <c r="J104" s="75"/>
      <c r="K104" s="76">
        <f t="shared" si="5"/>
        <v>0</v>
      </c>
      <c r="L104" s="76"/>
      <c r="M104" s="53">
        <v>10371</v>
      </c>
      <c r="N104" s="76"/>
      <c r="O104" s="76">
        <v>84696971</v>
      </c>
      <c r="P104" s="75"/>
      <c r="Q104" s="76">
        <v>-126773548</v>
      </c>
      <c r="R104" s="76"/>
      <c r="S104" s="76">
        <f t="shared" si="4"/>
        <v>-42076577</v>
      </c>
      <c r="T104" s="70"/>
      <c r="U104" s="111"/>
    </row>
    <row r="105" spans="2:21">
      <c r="B105" s="53" t="s">
        <v>353</v>
      </c>
      <c r="C105" s="74" t="s">
        <v>121</v>
      </c>
      <c r="D105" s="75"/>
      <c r="E105" s="76">
        <v>24800</v>
      </c>
      <c r="F105" s="75"/>
      <c r="G105" s="76">
        <v>312271708</v>
      </c>
      <c r="H105" s="53"/>
      <c r="I105" s="76">
        <v>-307851014</v>
      </c>
      <c r="J105" s="75"/>
      <c r="K105" s="76">
        <f t="shared" si="5"/>
        <v>4420694</v>
      </c>
      <c r="L105" s="76"/>
      <c r="M105" s="53">
        <v>862741</v>
      </c>
      <c r="N105" s="76"/>
      <c r="O105" s="76">
        <v>12318447692</v>
      </c>
      <c r="P105" s="75"/>
      <c r="Q105" s="76">
        <v>-12737145698</v>
      </c>
      <c r="R105" s="76"/>
      <c r="S105" s="76">
        <f t="shared" si="4"/>
        <v>-418698006</v>
      </c>
      <c r="T105" s="70"/>
      <c r="U105" s="111"/>
    </row>
    <row r="106" spans="2:21">
      <c r="B106" s="53" t="s">
        <v>352</v>
      </c>
      <c r="C106" s="74" t="s">
        <v>263</v>
      </c>
      <c r="D106" s="75"/>
      <c r="E106" s="76">
        <v>8416</v>
      </c>
      <c r="F106" s="75"/>
      <c r="G106" s="76">
        <v>37025701</v>
      </c>
      <c r="H106" s="53"/>
      <c r="I106" s="76">
        <v>-26270989</v>
      </c>
      <c r="J106" s="75"/>
      <c r="K106" s="76">
        <f t="shared" si="5"/>
        <v>10754712</v>
      </c>
      <c r="L106" s="76"/>
      <c r="M106" s="53">
        <v>120545</v>
      </c>
      <c r="N106" s="76"/>
      <c r="O106" s="76">
        <v>463556766</v>
      </c>
      <c r="P106" s="75"/>
      <c r="Q106" s="76">
        <v>-376301242</v>
      </c>
      <c r="R106" s="76"/>
      <c r="S106" s="76">
        <f t="shared" si="4"/>
        <v>87255524</v>
      </c>
      <c r="T106" s="70"/>
      <c r="U106" s="111"/>
    </row>
    <row r="107" spans="2:21">
      <c r="B107" s="53" t="s">
        <v>351</v>
      </c>
      <c r="C107" s="74" t="s">
        <v>134</v>
      </c>
      <c r="D107" s="75"/>
      <c r="E107" s="76">
        <v>17558</v>
      </c>
      <c r="F107" s="75"/>
      <c r="G107" s="76">
        <v>109038331</v>
      </c>
      <c r="H107" s="53"/>
      <c r="I107" s="76">
        <v>-80649082</v>
      </c>
      <c r="J107" s="75"/>
      <c r="K107" s="76">
        <f t="shared" si="5"/>
        <v>28389249</v>
      </c>
      <c r="L107" s="76"/>
      <c r="M107" s="53">
        <v>132262</v>
      </c>
      <c r="N107" s="76"/>
      <c r="O107" s="76">
        <v>785655475</v>
      </c>
      <c r="P107" s="75"/>
      <c r="Q107" s="76">
        <v>-760424475</v>
      </c>
      <c r="R107" s="76"/>
      <c r="S107" s="76">
        <f t="shared" si="4"/>
        <v>25231000</v>
      </c>
      <c r="T107" s="70"/>
      <c r="U107" s="111"/>
    </row>
    <row r="108" spans="2:21">
      <c r="B108" s="53" t="s">
        <v>453</v>
      </c>
      <c r="C108" s="74" t="s">
        <v>442</v>
      </c>
      <c r="D108" s="75"/>
      <c r="E108" s="76"/>
      <c r="F108" s="75"/>
      <c r="G108" s="76"/>
      <c r="H108" s="53"/>
      <c r="I108" s="76"/>
      <c r="J108" s="75"/>
      <c r="K108" s="76">
        <f t="shared" si="5"/>
        <v>0</v>
      </c>
      <c r="L108" s="76"/>
      <c r="M108" s="53">
        <v>8320</v>
      </c>
      <c r="N108" s="76"/>
      <c r="O108" s="76">
        <v>20520511</v>
      </c>
      <c r="P108" s="75"/>
      <c r="Q108" s="76">
        <v>-30843430</v>
      </c>
      <c r="R108" s="76"/>
      <c r="S108" s="76">
        <f t="shared" si="4"/>
        <v>-10322919</v>
      </c>
      <c r="T108" s="70"/>
      <c r="U108" s="111"/>
    </row>
    <row r="109" spans="2:21">
      <c r="B109" s="53" t="s">
        <v>506</v>
      </c>
      <c r="C109" s="74" t="s">
        <v>487</v>
      </c>
      <c r="D109" s="75"/>
      <c r="E109" s="76"/>
      <c r="F109" s="75"/>
      <c r="G109" s="76"/>
      <c r="H109" s="53"/>
      <c r="I109" s="76"/>
      <c r="J109" s="75"/>
      <c r="K109" s="76">
        <f t="shared" si="5"/>
        <v>0</v>
      </c>
      <c r="L109" s="76"/>
      <c r="M109" s="53">
        <v>252628</v>
      </c>
      <c r="N109" s="76"/>
      <c r="O109" s="76">
        <v>1004174229</v>
      </c>
      <c r="P109" s="75"/>
      <c r="Q109" s="76">
        <v>-798373514</v>
      </c>
      <c r="R109" s="76"/>
      <c r="S109" s="76">
        <f t="shared" si="4"/>
        <v>205800715</v>
      </c>
      <c r="T109" s="70"/>
      <c r="U109" s="111"/>
    </row>
    <row r="110" spans="2:21">
      <c r="B110" s="53" t="s">
        <v>350</v>
      </c>
      <c r="C110" s="74" t="s">
        <v>156</v>
      </c>
      <c r="D110" s="75"/>
      <c r="E110" s="76">
        <v>36045</v>
      </c>
      <c r="F110" s="75"/>
      <c r="G110" s="76">
        <v>668584938</v>
      </c>
      <c r="H110" s="53"/>
      <c r="I110" s="76">
        <v>-536250354</v>
      </c>
      <c r="J110" s="75"/>
      <c r="K110" s="76">
        <f t="shared" si="5"/>
        <v>132334584</v>
      </c>
      <c r="L110" s="76"/>
      <c r="M110" s="53">
        <v>1289042</v>
      </c>
      <c r="N110" s="76"/>
      <c r="O110" s="76">
        <v>19048126004</v>
      </c>
      <c r="P110" s="75"/>
      <c r="Q110" s="76">
        <v>-18712160761</v>
      </c>
      <c r="R110" s="76"/>
      <c r="S110" s="76">
        <f t="shared" si="4"/>
        <v>335965243</v>
      </c>
      <c r="T110" s="70"/>
      <c r="U110" s="111"/>
    </row>
    <row r="111" spans="2:21">
      <c r="B111" s="53" t="s">
        <v>349</v>
      </c>
      <c r="C111" s="74" t="s">
        <v>157</v>
      </c>
      <c r="D111" s="75"/>
      <c r="E111" s="76">
        <v>15481</v>
      </c>
      <c r="F111" s="75"/>
      <c r="G111" s="76">
        <v>216598729</v>
      </c>
      <c r="H111" s="53"/>
      <c r="I111" s="76">
        <v>-212698200</v>
      </c>
      <c r="J111" s="75"/>
      <c r="K111" s="76">
        <f t="shared" si="5"/>
        <v>3900529</v>
      </c>
      <c r="L111" s="76"/>
      <c r="M111" s="53">
        <v>956100</v>
      </c>
      <c r="N111" s="76"/>
      <c r="O111" s="76">
        <v>11573266944</v>
      </c>
      <c r="P111" s="75"/>
      <c r="Q111" s="76">
        <v>-13107035328</v>
      </c>
      <c r="R111" s="76"/>
      <c r="S111" s="76">
        <f t="shared" si="4"/>
        <v>-1533768384</v>
      </c>
      <c r="T111" s="70"/>
      <c r="U111" s="111"/>
    </row>
    <row r="112" spans="2:21">
      <c r="B112" s="53" t="s">
        <v>348</v>
      </c>
      <c r="C112" s="74" t="s">
        <v>125</v>
      </c>
      <c r="D112" s="75"/>
      <c r="E112" s="76">
        <v>38289</v>
      </c>
      <c r="F112" s="75"/>
      <c r="G112" s="76">
        <v>423253123</v>
      </c>
      <c r="H112" s="53"/>
      <c r="I112" s="76">
        <v>-387944665</v>
      </c>
      <c r="J112" s="75"/>
      <c r="K112" s="76">
        <f t="shared" si="5"/>
        <v>35308458</v>
      </c>
      <c r="L112" s="76"/>
      <c r="M112" s="53">
        <v>567341</v>
      </c>
      <c r="N112" s="76"/>
      <c r="O112" s="76">
        <v>5776663621</v>
      </c>
      <c r="P112" s="75"/>
      <c r="Q112" s="76">
        <v>-5730956784</v>
      </c>
      <c r="R112" s="76"/>
      <c r="S112" s="76">
        <f t="shared" si="4"/>
        <v>45706837</v>
      </c>
      <c r="T112" s="70"/>
      <c r="U112" s="111"/>
    </row>
    <row r="113" spans="2:21">
      <c r="B113" s="53" t="s">
        <v>347</v>
      </c>
      <c r="C113" s="74" t="s">
        <v>197</v>
      </c>
      <c r="D113" s="75"/>
      <c r="E113" s="76">
        <v>5218</v>
      </c>
      <c r="F113" s="75"/>
      <c r="G113" s="76">
        <v>91864606</v>
      </c>
      <c r="H113" s="53"/>
      <c r="I113" s="76">
        <v>-85278011</v>
      </c>
      <c r="J113" s="75"/>
      <c r="K113" s="76">
        <f t="shared" si="5"/>
        <v>6586595</v>
      </c>
      <c r="L113" s="76"/>
      <c r="M113" s="53">
        <v>114101</v>
      </c>
      <c r="N113" s="76"/>
      <c r="O113" s="76">
        <v>1761783083</v>
      </c>
      <c r="P113" s="75"/>
      <c r="Q113" s="76">
        <v>-1810154779</v>
      </c>
      <c r="R113" s="76"/>
      <c r="S113" s="76">
        <f t="shared" si="4"/>
        <v>-48371696</v>
      </c>
      <c r="T113" s="70"/>
      <c r="U113" s="111"/>
    </row>
    <row r="114" spans="2:21">
      <c r="B114" s="53" t="s">
        <v>346</v>
      </c>
      <c r="C114" s="74" t="s">
        <v>123</v>
      </c>
      <c r="D114" s="75"/>
      <c r="E114" s="76">
        <v>28194</v>
      </c>
      <c r="F114" s="75"/>
      <c r="G114" s="76">
        <v>207879564</v>
      </c>
      <c r="H114" s="53"/>
      <c r="I114" s="76">
        <v>-218699023</v>
      </c>
      <c r="J114" s="75"/>
      <c r="K114" s="76">
        <f t="shared" si="5"/>
        <v>-10819459</v>
      </c>
      <c r="L114" s="76"/>
      <c r="M114" s="53">
        <v>703937</v>
      </c>
      <c r="N114" s="76"/>
      <c r="O114" s="76">
        <v>4956819271</v>
      </c>
      <c r="P114" s="75"/>
      <c r="Q114" s="76">
        <v>-5512659301</v>
      </c>
      <c r="R114" s="76"/>
      <c r="S114" s="76">
        <f t="shared" si="4"/>
        <v>-555840030</v>
      </c>
      <c r="T114" s="70"/>
      <c r="U114" s="111"/>
    </row>
    <row r="115" spans="2:21">
      <c r="B115" s="53" t="s">
        <v>345</v>
      </c>
      <c r="C115" s="74" t="s">
        <v>160</v>
      </c>
      <c r="D115" s="75"/>
      <c r="E115" s="76">
        <v>22975</v>
      </c>
      <c r="F115" s="75"/>
      <c r="G115" s="76">
        <v>124419138</v>
      </c>
      <c r="H115" s="53"/>
      <c r="I115" s="76">
        <v>-111773871</v>
      </c>
      <c r="J115" s="75"/>
      <c r="K115" s="76">
        <f t="shared" si="5"/>
        <v>12645267</v>
      </c>
      <c r="L115" s="76"/>
      <c r="M115" s="53">
        <v>1453113</v>
      </c>
      <c r="N115" s="76"/>
      <c r="O115" s="76">
        <v>7469841453</v>
      </c>
      <c r="P115" s="75"/>
      <c r="Q115" s="76">
        <v>-7062705945</v>
      </c>
      <c r="R115" s="76"/>
      <c r="S115" s="76">
        <f t="shared" si="4"/>
        <v>407135508</v>
      </c>
      <c r="T115" s="70"/>
      <c r="U115" s="111"/>
    </row>
    <row r="116" spans="2:21">
      <c r="B116" s="53" t="s">
        <v>344</v>
      </c>
      <c r="C116" s="74" t="s">
        <v>158</v>
      </c>
      <c r="D116" s="75"/>
      <c r="E116" s="76">
        <v>14851</v>
      </c>
      <c r="F116" s="75"/>
      <c r="G116" s="76">
        <v>318541291</v>
      </c>
      <c r="H116" s="53"/>
      <c r="I116" s="76">
        <v>-306437591</v>
      </c>
      <c r="J116" s="75"/>
      <c r="K116" s="76">
        <f t="shared" si="5"/>
        <v>12103700</v>
      </c>
      <c r="L116" s="76"/>
      <c r="M116" s="53">
        <v>241677</v>
      </c>
      <c r="N116" s="76"/>
      <c r="O116" s="76">
        <v>4775723410</v>
      </c>
      <c r="P116" s="75"/>
      <c r="Q116" s="76">
        <v>-4992118161</v>
      </c>
      <c r="R116" s="76"/>
      <c r="S116" s="76">
        <f t="shared" si="4"/>
        <v>-216394751</v>
      </c>
      <c r="T116" s="70"/>
      <c r="U116" s="111"/>
    </row>
    <row r="117" spans="2:21">
      <c r="B117" s="53" t="s">
        <v>343</v>
      </c>
      <c r="C117" s="74" t="s">
        <v>205</v>
      </c>
      <c r="D117" s="75"/>
      <c r="E117" s="76">
        <v>30239</v>
      </c>
      <c r="F117" s="75"/>
      <c r="G117" s="76">
        <v>139895617</v>
      </c>
      <c r="H117" s="53"/>
      <c r="I117" s="76">
        <v>-126692591</v>
      </c>
      <c r="J117" s="75"/>
      <c r="K117" s="76">
        <f t="shared" si="5"/>
        <v>13203026</v>
      </c>
      <c r="L117" s="76"/>
      <c r="M117" s="53">
        <v>530547</v>
      </c>
      <c r="N117" s="76"/>
      <c r="O117" s="76">
        <v>2260734701</v>
      </c>
      <c r="P117" s="75"/>
      <c r="Q117" s="76">
        <v>-2225250752</v>
      </c>
      <c r="R117" s="76"/>
      <c r="S117" s="76">
        <f t="shared" si="4"/>
        <v>35483949</v>
      </c>
      <c r="T117" s="70"/>
      <c r="U117" s="111"/>
    </row>
    <row r="118" spans="2:21">
      <c r="B118" s="53" t="s">
        <v>342</v>
      </c>
      <c r="C118" s="74" t="s">
        <v>184</v>
      </c>
      <c r="D118" s="75"/>
      <c r="E118" s="76">
        <v>16704</v>
      </c>
      <c r="F118" s="75"/>
      <c r="G118" s="76">
        <v>122339615</v>
      </c>
      <c r="H118" s="53"/>
      <c r="I118" s="76">
        <v>-135253525</v>
      </c>
      <c r="J118" s="75"/>
      <c r="K118" s="76">
        <f t="shared" si="5"/>
        <v>-12913910</v>
      </c>
      <c r="L118" s="76"/>
      <c r="M118" s="53">
        <v>322692</v>
      </c>
      <c r="N118" s="76"/>
      <c r="O118" s="76">
        <v>2255632585</v>
      </c>
      <c r="P118" s="75"/>
      <c r="Q118" s="76">
        <v>-2653911939</v>
      </c>
      <c r="R118" s="76"/>
      <c r="S118" s="76">
        <f t="shared" si="4"/>
        <v>-398279354</v>
      </c>
      <c r="T118" s="70"/>
      <c r="U118" s="111"/>
    </row>
    <row r="119" spans="2:21">
      <c r="B119" s="53" t="s">
        <v>341</v>
      </c>
      <c r="C119" s="74" t="s">
        <v>207</v>
      </c>
      <c r="D119" s="75"/>
      <c r="E119" s="76"/>
      <c r="F119" s="75"/>
      <c r="G119" s="76"/>
      <c r="H119" s="53"/>
      <c r="I119" s="76"/>
      <c r="J119" s="75"/>
      <c r="K119" s="76">
        <f t="shared" si="5"/>
        <v>0</v>
      </c>
      <c r="L119" s="76"/>
      <c r="M119" s="53">
        <v>573657</v>
      </c>
      <c r="N119" s="76"/>
      <c r="O119" s="76">
        <v>3156725463</v>
      </c>
      <c r="P119" s="75"/>
      <c r="Q119" s="76">
        <v>-3512814566</v>
      </c>
      <c r="R119" s="76"/>
      <c r="S119" s="76">
        <f t="shared" si="4"/>
        <v>-356089103</v>
      </c>
      <c r="T119" s="70"/>
      <c r="U119" s="111"/>
    </row>
    <row r="120" spans="2:21">
      <c r="B120" s="53" t="s">
        <v>340</v>
      </c>
      <c r="C120" s="74" t="s">
        <v>227</v>
      </c>
      <c r="D120" s="75"/>
      <c r="E120" s="76">
        <v>20147</v>
      </c>
      <c r="F120" s="75"/>
      <c r="G120" s="76">
        <v>47983383</v>
      </c>
      <c r="H120" s="53"/>
      <c r="I120" s="76">
        <v>-42305451</v>
      </c>
      <c r="J120" s="75"/>
      <c r="K120" s="76">
        <f t="shared" si="5"/>
        <v>5677932</v>
      </c>
      <c r="L120" s="76"/>
      <c r="M120" s="53">
        <v>666306</v>
      </c>
      <c r="N120" s="76"/>
      <c r="O120" s="76">
        <v>1946676732</v>
      </c>
      <c r="P120" s="75"/>
      <c r="Q120" s="76">
        <v>-1907344598</v>
      </c>
      <c r="R120" s="76"/>
      <c r="S120" s="76">
        <f t="shared" si="4"/>
        <v>39332134</v>
      </c>
      <c r="T120" s="70"/>
      <c r="U120" s="111"/>
    </row>
    <row r="121" spans="2:21">
      <c r="B121" s="53" t="s">
        <v>339</v>
      </c>
      <c r="C121" s="74" t="s">
        <v>143</v>
      </c>
      <c r="D121" s="75"/>
      <c r="E121" s="76">
        <v>46649</v>
      </c>
      <c r="F121" s="75"/>
      <c r="G121" s="76">
        <v>196312528</v>
      </c>
      <c r="H121" s="53"/>
      <c r="I121" s="76">
        <v>-162020213</v>
      </c>
      <c r="J121" s="75"/>
      <c r="K121" s="76">
        <f t="shared" si="5"/>
        <v>34292315</v>
      </c>
      <c r="L121" s="76"/>
      <c r="M121" s="53">
        <v>853374</v>
      </c>
      <c r="N121" s="76"/>
      <c r="O121" s="76">
        <v>3322841551</v>
      </c>
      <c r="P121" s="75"/>
      <c r="Q121" s="76">
        <v>-2865625323</v>
      </c>
      <c r="R121" s="76"/>
      <c r="S121" s="76">
        <f t="shared" si="4"/>
        <v>457216228</v>
      </c>
      <c r="T121" s="70"/>
      <c r="U121" s="111"/>
    </row>
    <row r="122" spans="2:21">
      <c r="B122" s="53" t="s">
        <v>338</v>
      </c>
      <c r="C122" s="74" t="s">
        <v>214</v>
      </c>
      <c r="D122" s="75"/>
      <c r="E122" s="76">
        <v>12077</v>
      </c>
      <c r="F122" s="75"/>
      <c r="G122" s="76">
        <v>226951011</v>
      </c>
      <c r="H122" s="53"/>
      <c r="I122" s="76">
        <v>-245913920</v>
      </c>
      <c r="J122" s="75"/>
      <c r="K122" s="76">
        <f t="shared" si="5"/>
        <v>-18962909</v>
      </c>
      <c r="L122" s="76"/>
      <c r="M122" s="53">
        <v>221347</v>
      </c>
      <c r="N122" s="76"/>
      <c r="O122" s="76">
        <v>4142280537</v>
      </c>
      <c r="P122" s="75"/>
      <c r="Q122" s="76">
        <v>-4506323540</v>
      </c>
      <c r="R122" s="76"/>
      <c r="S122" s="76">
        <f t="shared" si="4"/>
        <v>-364043003</v>
      </c>
      <c r="T122" s="70"/>
      <c r="U122" s="111"/>
    </row>
    <row r="123" spans="2:21">
      <c r="B123" s="53" t="s">
        <v>337</v>
      </c>
      <c r="C123" s="74" t="s">
        <v>90</v>
      </c>
      <c r="D123" s="75"/>
      <c r="E123" s="76">
        <v>71069</v>
      </c>
      <c r="F123" s="75"/>
      <c r="G123" s="76">
        <v>273182208</v>
      </c>
      <c r="H123" s="53"/>
      <c r="I123" s="76">
        <v>-223553921</v>
      </c>
      <c r="J123" s="75"/>
      <c r="K123" s="76">
        <f t="shared" si="5"/>
        <v>49628287</v>
      </c>
      <c r="L123" s="76"/>
      <c r="M123" s="53">
        <v>1314091</v>
      </c>
      <c r="N123" s="76"/>
      <c r="O123" s="76">
        <v>4660772120</v>
      </c>
      <c r="P123" s="75"/>
      <c r="Q123" s="76">
        <v>-4135169820</v>
      </c>
      <c r="R123" s="76"/>
      <c r="S123" s="76">
        <f t="shared" si="4"/>
        <v>525602300</v>
      </c>
      <c r="T123" s="70"/>
      <c r="U123" s="111"/>
    </row>
    <row r="124" spans="2:21">
      <c r="B124" s="53" t="s">
        <v>336</v>
      </c>
      <c r="C124" s="74" t="s">
        <v>117</v>
      </c>
      <c r="D124" s="75"/>
      <c r="E124" s="76">
        <v>53594</v>
      </c>
      <c r="F124" s="75"/>
      <c r="G124" s="76">
        <v>154052869</v>
      </c>
      <c r="H124" s="53"/>
      <c r="I124" s="76">
        <v>-146292891</v>
      </c>
      <c r="J124" s="75"/>
      <c r="K124" s="76">
        <f t="shared" si="5"/>
        <v>7759978</v>
      </c>
      <c r="L124" s="76"/>
      <c r="M124" s="53">
        <v>821350</v>
      </c>
      <c r="N124" s="76"/>
      <c r="O124" s="76">
        <v>2279770021</v>
      </c>
      <c r="P124" s="75"/>
      <c r="Q124" s="76">
        <v>-2233062079</v>
      </c>
      <c r="R124" s="76"/>
      <c r="S124" s="76">
        <f t="shared" si="4"/>
        <v>46707942</v>
      </c>
      <c r="T124" s="70"/>
      <c r="U124" s="111"/>
    </row>
    <row r="125" spans="2:21">
      <c r="B125" s="53" t="s">
        <v>713</v>
      </c>
      <c r="C125" s="74" t="s">
        <v>516</v>
      </c>
      <c r="D125" s="75"/>
      <c r="E125" s="76">
        <v>8554</v>
      </c>
      <c r="F125" s="75"/>
      <c r="G125" s="76">
        <v>31052420</v>
      </c>
      <c r="H125" s="53"/>
      <c r="I125" s="76">
        <v>-31297162</v>
      </c>
      <c r="J125" s="75"/>
      <c r="K125" s="76">
        <f t="shared" si="5"/>
        <v>-244742</v>
      </c>
      <c r="L125" s="76"/>
      <c r="M125" s="53">
        <v>90930</v>
      </c>
      <c r="N125" s="76"/>
      <c r="O125" s="76">
        <v>332513004</v>
      </c>
      <c r="P125" s="75"/>
      <c r="Q125" s="76">
        <v>-332692419</v>
      </c>
      <c r="R125" s="76"/>
      <c r="S125" s="76">
        <f t="shared" si="4"/>
        <v>-179415</v>
      </c>
      <c r="T125" s="70"/>
      <c r="U125" s="111"/>
    </row>
    <row r="126" spans="2:21">
      <c r="B126" s="53" t="s">
        <v>505</v>
      </c>
      <c r="C126" s="74" t="s">
        <v>486</v>
      </c>
      <c r="D126" s="75"/>
      <c r="E126" s="76">
        <v>5331</v>
      </c>
      <c r="F126" s="75"/>
      <c r="G126" s="76">
        <v>82970723</v>
      </c>
      <c r="H126" s="53"/>
      <c r="I126" s="76">
        <v>-74562649</v>
      </c>
      <c r="J126" s="75"/>
      <c r="K126" s="76">
        <f t="shared" si="5"/>
        <v>8408074</v>
      </c>
      <c r="L126" s="76"/>
      <c r="M126" s="53">
        <v>59250</v>
      </c>
      <c r="N126" s="76"/>
      <c r="O126" s="76">
        <v>891131029</v>
      </c>
      <c r="P126" s="75"/>
      <c r="Q126" s="76">
        <v>-791360442</v>
      </c>
      <c r="R126" s="76"/>
      <c r="S126" s="76">
        <f t="shared" si="4"/>
        <v>99770587</v>
      </c>
      <c r="T126" s="70"/>
      <c r="U126" s="111"/>
    </row>
    <row r="127" spans="2:21">
      <c r="B127" s="53" t="s">
        <v>335</v>
      </c>
      <c r="C127" s="74" t="s">
        <v>180</v>
      </c>
      <c r="D127" s="75"/>
      <c r="E127" s="76">
        <v>6599</v>
      </c>
      <c r="F127" s="75"/>
      <c r="G127" s="76">
        <v>196418200</v>
      </c>
      <c r="H127" s="53"/>
      <c r="I127" s="76">
        <v>-143564054</v>
      </c>
      <c r="J127" s="75"/>
      <c r="K127" s="76">
        <f t="shared" si="5"/>
        <v>52854146</v>
      </c>
      <c r="L127" s="76"/>
      <c r="M127" s="53">
        <v>176481</v>
      </c>
      <c r="N127" s="76"/>
      <c r="O127" s="76">
        <v>4521929277</v>
      </c>
      <c r="P127" s="75"/>
      <c r="Q127" s="76">
        <v>-3844837549</v>
      </c>
      <c r="R127" s="76"/>
      <c r="S127" s="76">
        <f t="shared" si="4"/>
        <v>677091728</v>
      </c>
      <c r="T127" s="70"/>
      <c r="U127" s="111"/>
    </row>
    <row r="128" spans="2:21">
      <c r="B128" s="53" t="s">
        <v>450</v>
      </c>
      <c r="C128" s="74" t="s">
        <v>440</v>
      </c>
      <c r="D128" s="75"/>
      <c r="E128" s="76">
        <v>12303</v>
      </c>
      <c r="F128" s="75"/>
      <c r="G128" s="76">
        <v>138098433</v>
      </c>
      <c r="H128" s="53"/>
      <c r="I128" s="76">
        <v>-97761185</v>
      </c>
      <c r="J128" s="75"/>
      <c r="K128" s="76">
        <f t="shared" si="5"/>
        <v>40337248</v>
      </c>
      <c r="L128" s="76"/>
      <c r="M128" s="53">
        <v>182813</v>
      </c>
      <c r="N128" s="76"/>
      <c r="O128" s="76">
        <v>1609402359</v>
      </c>
      <c r="P128" s="75"/>
      <c r="Q128" s="76">
        <v>-1446648108</v>
      </c>
      <c r="R128" s="76"/>
      <c r="S128" s="76">
        <f t="shared" si="4"/>
        <v>162754251</v>
      </c>
      <c r="T128" s="70"/>
      <c r="U128" s="111"/>
    </row>
    <row r="129" spans="2:21">
      <c r="B129" s="53" t="s">
        <v>334</v>
      </c>
      <c r="C129" s="74" t="s">
        <v>267</v>
      </c>
      <c r="D129" s="75"/>
      <c r="E129" s="76">
        <v>4303</v>
      </c>
      <c r="F129" s="75"/>
      <c r="G129" s="76">
        <v>59558007</v>
      </c>
      <c r="H129" s="53"/>
      <c r="I129" s="76">
        <v>-64029072</v>
      </c>
      <c r="J129" s="75"/>
      <c r="K129" s="76">
        <f t="shared" si="5"/>
        <v>-4471065</v>
      </c>
      <c r="L129" s="76"/>
      <c r="M129" s="53">
        <v>65273</v>
      </c>
      <c r="N129" s="76"/>
      <c r="O129" s="76">
        <v>877228277</v>
      </c>
      <c r="P129" s="75"/>
      <c r="Q129" s="76">
        <v>-979179119</v>
      </c>
      <c r="R129" s="76"/>
      <c r="S129" s="76">
        <f t="shared" si="4"/>
        <v>-101950842</v>
      </c>
      <c r="T129" s="70"/>
      <c r="U129" s="111"/>
    </row>
    <row r="130" spans="2:21">
      <c r="B130" s="53" t="s">
        <v>333</v>
      </c>
      <c r="C130" s="74" t="s">
        <v>271</v>
      </c>
      <c r="D130" s="75"/>
      <c r="E130" s="76">
        <v>12289</v>
      </c>
      <c r="F130" s="75"/>
      <c r="G130" s="76">
        <v>150762081</v>
      </c>
      <c r="H130" s="53"/>
      <c r="I130" s="76">
        <v>-146519547</v>
      </c>
      <c r="J130" s="75"/>
      <c r="K130" s="76">
        <f t="shared" si="5"/>
        <v>4242534</v>
      </c>
      <c r="L130" s="76"/>
      <c r="M130" s="53">
        <v>263183</v>
      </c>
      <c r="N130" s="76"/>
      <c r="O130" s="76">
        <v>3050127520</v>
      </c>
      <c r="P130" s="75"/>
      <c r="Q130" s="76">
        <v>-3146320623</v>
      </c>
      <c r="R130" s="76"/>
      <c r="S130" s="76">
        <f t="shared" si="4"/>
        <v>-96193103</v>
      </c>
      <c r="T130" s="70"/>
      <c r="U130" s="111"/>
    </row>
    <row r="131" spans="2:21">
      <c r="B131" s="53" t="s">
        <v>332</v>
      </c>
      <c r="C131" s="74" t="s">
        <v>135</v>
      </c>
      <c r="D131" s="75"/>
      <c r="E131" s="76">
        <v>8602</v>
      </c>
      <c r="F131" s="75"/>
      <c r="G131" s="76">
        <v>81660320</v>
      </c>
      <c r="H131" s="53"/>
      <c r="I131" s="76">
        <v>-55873880</v>
      </c>
      <c r="J131" s="75"/>
      <c r="K131" s="76">
        <f t="shared" si="5"/>
        <v>25786440</v>
      </c>
      <c r="L131" s="76"/>
      <c r="M131" s="53">
        <v>344239</v>
      </c>
      <c r="N131" s="76"/>
      <c r="O131" s="76">
        <v>2294486766</v>
      </c>
      <c r="P131" s="75"/>
      <c r="Q131" s="76">
        <v>-2240146741</v>
      </c>
      <c r="R131" s="76"/>
      <c r="S131" s="76">
        <f t="shared" si="4"/>
        <v>54340025</v>
      </c>
      <c r="T131" s="70"/>
      <c r="U131" s="111"/>
    </row>
    <row r="132" spans="2:21">
      <c r="B132" s="53" t="s">
        <v>504</v>
      </c>
      <c r="C132" s="74" t="s">
        <v>485</v>
      </c>
      <c r="D132" s="75"/>
      <c r="E132" s="76">
        <v>16838</v>
      </c>
      <c r="F132" s="75"/>
      <c r="G132" s="76">
        <v>200296932</v>
      </c>
      <c r="H132" s="53"/>
      <c r="I132" s="76">
        <v>-188442182</v>
      </c>
      <c r="J132" s="75"/>
      <c r="K132" s="76">
        <f t="shared" si="5"/>
        <v>11854750</v>
      </c>
      <c r="L132" s="76"/>
      <c r="M132" s="53">
        <v>228702</v>
      </c>
      <c r="N132" s="76"/>
      <c r="O132" s="76">
        <v>2666691014</v>
      </c>
      <c r="P132" s="75"/>
      <c r="Q132" s="76">
        <v>-2559570782</v>
      </c>
      <c r="R132" s="76"/>
      <c r="S132" s="76">
        <f t="shared" si="4"/>
        <v>107120232</v>
      </c>
      <c r="T132" s="70"/>
      <c r="U132" s="111"/>
    </row>
    <row r="133" spans="2:21">
      <c r="B133" s="53" t="s">
        <v>331</v>
      </c>
      <c r="C133" s="74" t="s">
        <v>166</v>
      </c>
      <c r="D133" s="75"/>
      <c r="E133" s="76">
        <v>2932</v>
      </c>
      <c r="F133" s="75"/>
      <c r="G133" s="76">
        <v>114174620</v>
      </c>
      <c r="H133" s="53"/>
      <c r="I133" s="76">
        <v>-105243498</v>
      </c>
      <c r="J133" s="75"/>
      <c r="K133" s="76">
        <f t="shared" si="5"/>
        <v>8931122</v>
      </c>
      <c r="L133" s="76"/>
      <c r="M133" s="53">
        <v>42146</v>
      </c>
      <c r="N133" s="76"/>
      <c r="O133" s="76">
        <v>1483115588</v>
      </c>
      <c r="P133" s="75"/>
      <c r="Q133" s="76">
        <v>-1486088543</v>
      </c>
      <c r="R133" s="76"/>
      <c r="S133" s="76">
        <f t="shared" si="4"/>
        <v>-2972955</v>
      </c>
      <c r="T133" s="70"/>
      <c r="U133" s="111"/>
    </row>
    <row r="134" spans="2:21">
      <c r="B134" s="53" t="s">
        <v>330</v>
      </c>
      <c r="C134" s="74" t="s">
        <v>144</v>
      </c>
      <c r="D134" s="75"/>
      <c r="E134" s="76">
        <v>3561</v>
      </c>
      <c r="F134" s="75"/>
      <c r="G134" s="76">
        <v>62695589</v>
      </c>
      <c r="H134" s="53"/>
      <c r="I134" s="76">
        <v>-39396188</v>
      </c>
      <c r="J134" s="75"/>
      <c r="K134" s="76">
        <f t="shared" si="5"/>
        <v>23299401</v>
      </c>
      <c r="L134" s="76"/>
      <c r="M134" s="53">
        <v>228889</v>
      </c>
      <c r="N134" s="76"/>
      <c r="O134" s="76">
        <v>3431545800</v>
      </c>
      <c r="P134" s="75"/>
      <c r="Q134" s="76">
        <v>-2531573591</v>
      </c>
      <c r="R134" s="76"/>
      <c r="S134" s="76">
        <f t="shared" ref="S134:S171" si="6">O134+Q134</f>
        <v>899972209</v>
      </c>
      <c r="T134" s="70"/>
      <c r="U134" s="111"/>
    </row>
    <row r="135" spans="2:21">
      <c r="B135" s="53" t="s">
        <v>329</v>
      </c>
      <c r="C135" s="74" t="s">
        <v>179</v>
      </c>
      <c r="D135" s="75"/>
      <c r="E135" s="76">
        <v>15894</v>
      </c>
      <c r="F135" s="75"/>
      <c r="G135" s="76">
        <v>210712736</v>
      </c>
      <c r="H135" s="53"/>
      <c r="I135" s="76">
        <v>-129938252</v>
      </c>
      <c r="J135" s="75"/>
      <c r="K135" s="76">
        <f t="shared" si="5"/>
        <v>80774484</v>
      </c>
      <c r="L135" s="76"/>
      <c r="M135" s="53">
        <v>343817</v>
      </c>
      <c r="N135" s="76"/>
      <c r="O135" s="76">
        <v>6240619941</v>
      </c>
      <c r="P135" s="75"/>
      <c r="Q135" s="76">
        <v>-4619395374</v>
      </c>
      <c r="R135" s="76"/>
      <c r="S135" s="76">
        <f t="shared" si="6"/>
        <v>1621224567</v>
      </c>
      <c r="T135" s="70"/>
      <c r="U135" s="111"/>
    </row>
    <row r="136" spans="2:21">
      <c r="B136" s="53" t="s">
        <v>328</v>
      </c>
      <c r="C136" s="74" t="s">
        <v>176</v>
      </c>
      <c r="D136" s="75"/>
      <c r="E136" s="76">
        <v>11927</v>
      </c>
      <c r="F136" s="75"/>
      <c r="G136" s="76">
        <v>131850988</v>
      </c>
      <c r="H136" s="53"/>
      <c r="I136" s="76">
        <v>-125685159</v>
      </c>
      <c r="J136" s="75"/>
      <c r="K136" s="76">
        <f t="shared" si="5"/>
        <v>6165829</v>
      </c>
      <c r="L136" s="76"/>
      <c r="M136" s="53">
        <v>290443</v>
      </c>
      <c r="N136" s="76"/>
      <c r="O136" s="76">
        <v>2933641661</v>
      </c>
      <c r="P136" s="75"/>
      <c r="Q136" s="76">
        <v>-2973618084</v>
      </c>
      <c r="R136" s="76"/>
      <c r="S136" s="76">
        <f t="shared" si="6"/>
        <v>-39976423</v>
      </c>
      <c r="T136" s="70"/>
      <c r="U136" s="111"/>
    </row>
    <row r="137" spans="2:21">
      <c r="B137" s="53" t="s">
        <v>327</v>
      </c>
      <c r="C137" s="74" t="s">
        <v>128</v>
      </c>
      <c r="D137" s="75"/>
      <c r="E137" s="76">
        <v>38466</v>
      </c>
      <c r="F137" s="75"/>
      <c r="G137" s="76">
        <v>110354516</v>
      </c>
      <c r="H137" s="53"/>
      <c r="I137" s="76">
        <v>-79844253</v>
      </c>
      <c r="J137" s="75"/>
      <c r="K137" s="76">
        <f t="shared" ref="K137:K198" si="7">I137+G137</f>
        <v>30510263</v>
      </c>
      <c r="L137" s="76"/>
      <c r="M137" s="53">
        <v>420318</v>
      </c>
      <c r="N137" s="76"/>
      <c r="O137" s="76">
        <v>1266647218</v>
      </c>
      <c r="P137" s="75"/>
      <c r="Q137" s="76">
        <v>-1145151013</v>
      </c>
      <c r="R137" s="76"/>
      <c r="S137" s="76">
        <f t="shared" si="6"/>
        <v>121496205</v>
      </c>
      <c r="T137" s="70"/>
      <c r="U137" s="111"/>
    </row>
    <row r="138" spans="2:21">
      <c r="B138" s="53" t="s">
        <v>326</v>
      </c>
      <c r="C138" s="74" t="s">
        <v>185</v>
      </c>
      <c r="D138" s="75"/>
      <c r="E138" s="76">
        <v>6284</v>
      </c>
      <c r="F138" s="75"/>
      <c r="G138" s="76">
        <v>122403624</v>
      </c>
      <c r="H138" s="53"/>
      <c r="I138" s="76">
        <v>-125863848</v>
      </c>
      <c r="J138" s="75"/>
      <c r="K138" s="76">
        <f t="shared" si="7"/>
        <v>-3460224</v>
      </c>
      <c r="L138" s="76"/>
      <c r="M138" s="53">
        <v>75756</v>
      </c>
      <c r="N138" s="76"/>
      <c r="O138" s="76">
        <v>1448345378</v>
      </c>
      <c r="P138" s="75"/>
      <c r="Q138" s="76">
        <v>-1505615277</v>
      </c>
      <c r="R138" s="76"/>
      <c r="S138" s="76">
        <f t="shared" si="6"/>
        <v>-57269899</v>
      </c>
      <c r="T138" s="70"/>
      <c r="U138" s="111"/>
    </row>
    <row r="139" spans="2:21">
      <c r="B139" s="53" t="s">
        <v>712</v>
      </c>
      <c r="C139" s="74" t="s">
        <v>539</v>
      </c>
      <c r="D139" s="75"/>
      <c r="E139" s="76">
        <v>16754</v>
      </c>
      <c r="F139" s="75"/>
      <c r="G139" s="76">
        <v>38802872</v>
      </c>
      <c r="H139" s="53"/>
      <c r="I139" s="76">
        <v>-42328512</v>
      </c>
      <c r="J139" s="75"/>
      <c r="K139" s="76">
        <f t="shared" si="7"/>
        <v>-3525640</v>
      </c>
      <c r="L139" s="76"/>
      <c r="M139" s="53">
        <v>16754</v>
      </c>
      <c r="N139" s="76"/>
      <c r="O139" s="76">
        <v>38802872</v>
      </c>
      <c r="P139" s="75"/>
      <c r="Q139" s="76">
        <v>-42328512</v>
      </c>
      <c r="R139" s="76"/>
      <c r="S139" s="76">
        <f t="shared" si="6"/>
        <v>-3525640</v>
      </c>
      <c r="T139" s="70"/>
      <c r="U139" s="111"/>
    </row>
    <row r="140" spans="2:21">
      <c r="B140" s="53" t="s">
        <v>325</v>
      </c>
      <c r="C140" s="74" t="s">
        <v>147</v>
      </c>
      <c r="D140" s="75"/>
      <c r="E140" s="76">
        <v>32034</v>
      </c>
      <c r="F140" s="75"/>
      <c r="G140" s="76">
        <v>131954328</v>
      </c>
      <c r="H140" s="53"/>
      <c r="I140" s="76">
        <v>-126968736</v>
      </c>
      <c r="J140" s="75"/>
      <c r="K140" s="76">
        <f t="shared" si="7"/>
        <v>4985592</v>
      </c>
      <c r="L140" s="76"/>
      <c r="M140" s="53">
        <v>492119</v>
      </c>
      <c r="N140" s="76"/>
      <c r="O140" s="76">
        <v>1976689046</v>
      </c>
      <c r="P140" s="75"/>
      <c r="Q140" s="76">
        <v>-1909618494</v>
      </c>
      <c r="R140" s="76"/>
      <c r="S140" s="76">
        <f t="shared" si="6"/>
        <v>67070552</v>
      </c>
      <c r="T140" s="70"/>
      <c r="U140" s="111"/>
    </row>
    <row r="141" spans="2:21">
      <c r="B141" s="53" t="s">
        <v>324</v>
      </c>
      <c r="C141" s="74" t="s">
        <v>132</v>
      </c>
      <c r="D141" s="75"/>
      <c r="E141" s="76">
        <v>10290</v>
      </c>
      <c r="F141" s="75"/>
      <c r="G141" s="76">
        <v>133621807</v>
      </c>
      <c r="H141" s="53"/>
      <c r="I141" s="76">
        <v>-138076688</v>
      </c>
      <c r="J141" s="75"/>
      <c r="K141" s="76">
        <f t="shared" si="7"/>
        <v>-4454881</v>
      </c>
      <c r="L141" s="76"/>
      <c r="M141" s="53">
        <v>149999</v>
      </c>
      <c r="N141" s="76"/>
      <c r="O141" s="76">
        <v>1929643750</v>
      </c>
      <c r="P141" s="75"/>
      <c r="Q141" s="76">
        <v>-2012362084</v>
      </c>
      <c r="R141" s="76"/>
      <c r="S141" s="76">
        <f t="shared" si="6"/>
        <v>-82718334</v>
      </c>
      <c r="T141" s="70"/>
      <c r="U141" s="111"/>
    </row>
    <row r="142" spans="2:21">
      <c r="B142" s="53" t="s">
        <v>449</v>
      </c>
      <c r="C142" s="74" t="s">
        <v>441</v>
      </c>
      <c r="D142" s="75"/>
      <c r="E142" s="76">
        <v>13292</v>
      </c>
      <c r="F142" s="75"/>
      <c r="G142" s="76">
        <v>85556429</v>
      </c>
      <c r="H142" s="53"/>
      <c r="I142" s="76">
        <v>-84739581</v>
      </c>
      <c r="J142" s="75"/>
      <c r="K142" s="76">
        <f t="shared" si="7"/>
        <v>816848</v>
      </c>
      <c r="L142" s="76"/>
      <c r="M142" s="53">
        <v>72621</v>
      </c>
      <c r="N142" s="76"/>
      <c r="O142" s="76">
        <v>480730723</v>
      </c>
      <c r="P142" s="75"/>
      <c r="Q142" s="76">
        <v>-480538209</v>
      </c>
      <c r="R142" s="76"/>
      <c r="S142" s="76">
        <f t="shared" si="6"/>
        <v>192514</v>
      </c>
      <c r="T142" s="70"/>
      <c r="U142" s="111"/>
    </row>
    <row r="143" spans="2:21">
      <c r="B143" s="53" t="s">
        <v>323</v>
      </c>
      <c r="C143" s="74" t="s">
        <v>103</v>
      </c>
      <c r="D143" s="75"/>
      <c r="E143" s="76">
        <v>77714</v>
      </c>
      <c r="F143" s="75"/>
      <c r="G143" s="76">
        <v>308915826</v>
      </c>
      <c r="H143" s="53"/>
      <c r="I143" s="76">
        <v>-280295688</v>
      </c>
      <c r="J143" s="75"/>
      <c r="K143" s="76">
        <f t="shared" si="7"/>
        <v>28620138</v>
      </c>
      <c r="L143" s="76"/>
      <c r="M143" s="53">
        <v>1785801</v>
      </c>
      <c r="N143" s="76"/>
      <c r="O143" s="76">
        <v>6949815403</v>
      </c>
      <c r="P143" s="75"/>
      <c r="Q143" s="76">
        <v>-6403722148</v>
      </c>
      <c r="R143" s="76"/>
      <c r="S143" s="76">
        <f t="shared" si="6"/>
        <v>546093255</v>
      </c>
      <c r="T143" s="70"/>
      <c r="U143" s="111"/>
    </row>
    <row r="144" spans="2:21">
      <c r="B144" s="53" t="s">
        <v>503</v>
      </c>
      <c r="C144" s="74" t="s">
        <v>484</v>
      </c>
      <c r="D144" s="75"/>
      <c r="E144" s="76">
        <v>41457</v>
      </c>
      <c r="F144" s="75"/>
      <c r="G144" s="76">
        <v>82360574</v>
      </c>
      <c r="H144" s="53"/>
      <c r="I144" s="76">
        <v>-77064232</v>
      </c>
      <c r="J144" s="75"/>
      <c r="K144" s="76">
        <f t="shared" si="7"/>
        <v>5296342</v>
      </c>
      <c r="L144" s="76"/>
      <c r="M144" s="53">
        <v>722159</v>
      </c>
      <c r="N144" s="76"/>
      <c r="O144" s="76">
        <v>1367898535</v>
      </c>
      <c r="P144" s="75"/>
      <c r="Q144" s="76">
        <v>-1298154925</v>
      </c>
      <c r="R144" s="76"/>
      <c r="S144" s="76">
        <f t="shared" si="6"/>
        <v>69743610</v>
      </c>
      <c r="T144" s="70"/>
      <c r="U144" s="111"/>
    </row>
    <row r="145" spans="2:21">
      <c r="B145" s="53" t="s">
        <v>322</v>
      </c>
      <c r="C145" s="74" t="s">
        <v>130</v>
      </c>
      <c r="D145" s="75"/>
      <c r="E145" s="76">
        <v>5984</v>
      </c>
      <c r="F145" s="75"/>
      <c r="G145" s="76">
        <v>68389588</v>
      </c>
      <c r="H145" s="53"/>
      <c r="I145" s="76">
        <v>-79188012</v>
      </c>
      <c r="J145" s="75"/>
      <c r="K145" s="76">
        <f t="shared" si="7"/>
        <v>-10798424</v>
      </c>
      <c r="L145" s="76"/>
      <c r="M145" s="53">
        <v>153526</v>
      </c>
      <c r="N145" s="76"/>
      <c r="O145" s="76">
        <v>1692059611</v>
      </c>
      <c r="P145" s="75"/>
      <c r="Q145" s="76">
        <v>-2419699320</v>
      </c>
      <c r="R145" s="76"/>
      <c r="S145" s="76">
        <f t="shared" si="6"/>
        <v>-727639709</v>
      </c>
      <c r="T145" s="70"/>
      <c r="U145" s="111"/>
    </row>
    <row r="146" spans="2:21">
      <c r="B146" s="53" t="s">
        <v>502</v>
      </c>
      <c r="C146" s="74" t="s">
        <v>483</v>
      </c>
      <c r="D146" s="75"/>
      <c r="E146" s="76">
        <v>3922</v>
      </c>
      <c r="F146" s="75"/>
      <c r="G146" s="76">
        <v>102343893</v>
      </c>
      <c r="H146" s="53"/>
      <c r="I146" s="76">
        <v>-94379866</v>
      </c>
      <c r="J146" s="75"/>
      <c r="K146" s="76">
        <f t="shared" si="7"/>
        <v>7964027</v>
      </c>
      <c r="L146" s="76"/>
      <c r="M146" s="53">
        <v>36903</v>
      </c>
      <c r="N146" s="76"/>
      <c r="O146" s="76">
        <v>935225071</v>
      </c>
      <c r="P146" s="75"/>
      <c r="Q146" s="76">
        <v>-869030253</v>
      </c>
      <c r="R146" s="76"/>
      <c r="S146" s="76">
        <f t="shared" si="6"/>
        <v>66194818</v>
      </c>
      <c r="T146" s="70"/>
      <c r="U146" s="111"/>
    </row>
    <row r="147" spans="2:21">
      <c r="B147" s="53" t="s">
        <v>321</v>
      </c>
      <c r="C147" s="74" t="s">
        <v>161</v>
      </c>
      <c r="D147" s="75"/>
      <c r="E147" s="76"/>
      <c r="F147" s="75"/>
      <c r="G147" s="76"/>
      <c r="H147" s="53"/>
      <c r="I147" s="76"/>
      <c r="J147" s="75"/>
      <c r="K147" s="76">
        <f t="shared" si="7"/>
        <v>0</v>
      </c>
      <c r="L147" s="76"/>
      <c r="M147" s="53">
        <v>166078</v>
      </c>
      <c r="N147" s="76"/>
      <c r="O147" s="76">
        <v>7801292968</v>
      </c>
      <c r="P147" s="75"/>
      <c r="Q147" s="76">
        <v>-6639451402</v>
      </c>
      <c r="R147" s="76"/>
      <c r="S147" s="76">
        <f t="shared" si="6"/>
        <v>1161841566</v>
      </c>
      <c r="T147" s="70"/>
      <c r="U147" s="111"/>
    </row>
    <row r="148" spans="2:21">
      <c r="B148" s="53" t="s">
        <v>320</v>
      </c>
      <c r="C148" s="74" t="s">
        <v>226</v>
      </c>
      <c r="D148" s="75"/>
      <c r="E148" s="76">
        <v>178297</v>
      </c>
      <c r="F148" s="75"/>
      <c r="G148" s="76">
        <v>279145041</v>
      </c>
      <c r="H148" s="53"/>
      <c r="I148" s="76">
        <v>-262248736</v>
      </c>
      <c r="J148" s="75"/>
      <c r="K148" s="76">
        <f t="shared" si="7"/>
        <v>16896305</v>
      </c>
      <c r="L148" s="76"/>
      <c r="M148" s="53">
        <v>2606917</v>
      </c>
      <c r="N148" s="76"/>
      <c r="O148" s="76">
        <v>3944306389</v>
      </c>
      <c r="P148" s="75"/>
      <c r="Q148" s="76">
        <v>-3844669480</v>
      </c>
      <c r="R148" s="76"/>
      <c r="S148" s="76">
        <f t="shared" si="6"/>
        <v>99636909</v>
      </c>
      <c r="T148" s="70"/>
      <c r="U148" s="111"/>
    </row>
    <row r="149" spans="2:21">
      <c r="B149" s="53" t="s">
        <v>319</v>
      </c>
      <c r="C149" s="74" t="s">
        <v>216</v>
      </c>
      <c r="D149" s="75"/>
      <c r="E149" s="76">
        <v>29432</v>
      </c>
      <c r="F149" s="75"/>
      <c r="G149" s="76">
        <v>467846400</v>
      </c>
      <c r="H149" s="53"/>
      <c r="I149" s="76">
        <v>-514143226</v>
      </c>
      <c r="J149" s="75"/>
      <c r="K149" s="76">
        <f t="shared" si="7"/>
        <v>-46296826</v>
      </c>
      <c r="L149" s="76"/>
      <c r="M149" s="53">
        <v>527047</v>
      </c>
      <c r="N149" s="76"/>
      <c r="O149" s="76">
        <v>7896309239</v>
      </c>
      <c r="P149" s="75"/>
      <c r="Q149" s="76">
        <v>-9309247621</v>
      </c>
      <c r="R149" s="76"/>
      <c r="S149" s="76">
        <f t="shared" si="6"/>
        <v>-1412938382</v>
      </c>
      <c r="T149" s="70"/>
      <c r="U149" s="111"/>
    </row>
    <row r="150" spans="2:21">
      <c r="B150" s="53" t="s">
        <v>318</v>
      </c>
      <c r="C150" s="74" t="s">
        <v>93</v>
      </c>
      <c r="D150" s="75"/>
      <c r="E150" s="76">
        <v>10584</v>
      </c>
      <c r="F150" s="75"/>
      <c r="G150" s="76">
        <v>277682260</v>
      </c>
      <c r="H150" s="53"/>
      <c r="I150" s="76">
        <v>-188029518</v>
      </c>
      <c r="J150" s="75"/>
      <c r="K150" s="76">
        <f t="shared" si="7"/>
        <v>89652742</v>
      </c>
      <c r="L150" s="76"/>
      <c r="M150" s="53">
        <v>339643</v>
      </c>
      <c r="N150" s="76"/>
      <c r="O150" s="76">
        <v>6944152165</v>
      </c>
      <c r="P150" s="75"/>
      <c r="Q150" s="76">
        <v>-5924556147</v>
      </c>
      <c r="R150" s="76"/>
      <c r="S150" s="76">
        <f t="shared" si="6"/>
        <v>1019596018</v>
      </c>
      <c r="T150" s="70"/>
      <c r="U150" s="111"/>
    </row>
    <row r="151" spans="2:21">
      <c r="B151" s="53" t="s">
        <v>317</v>
      </c>
      <c r="C151" s="74" t="s">
        <v>155</v>
      </c>
      <c r="D151" s="75"/>
      <c r="E151" s="76">
        <v>38341</v>
      </c>
      <c r="F151" s="75"/>
      <c r="G151" s="76">
        <v>190552400</v>
      </c>
      <c r="H151" s="53"/>
      <c r="I151" s="76">
        <v>-195962308</v>
      </c>
      <c r="J151" s="75"/>
      <c r="K151" s="76">
        <f t="shared" si="7"/>
        <v>-5409908</v>
      </c>
      <c r="L151" s="76"/>
      <c r="M151" s="53">
        <v>1427253</v>
      </c>
      <c r="N151" s="76"/>
      <c r="O151" s="76">
        <v>7649168693</v>
      </c>
      <c r="P151" s="75"/>
      <c r="Q151" s="76">
        <v>-7519286243</v>
      </c>
      <c r="R151" s="76"/>
      <c r="S151" s="76">
        <f t="shared" si="6"/>
        <v>129882450</v>
      </c>
      <c r="T151" s="70"/>
      <c r="U151" s="111"/>
    </row>
    <row r="152" spans="2:21">
      <c r="B152" s="53" t="s">
        <v>316</v>
      </c>
      <c r="C152" s="74" t="s">
        <v>200</v>
      </c>
      <c r="D152" s="75"/>
      <c r="E152" s="76"/>
      <c r="F152" s="75"/>
      <c r="G152" s="76"/>
      <c r="H152" s="53"/>
      <c r="I152" s="76"/>
      <c r="J152" s="75"/>
      <c r="K152" s="76">
        <f t="shared" si="7"/>
        <v>0</v>
      </c>
      <c r="L152" s="76"/>
      <c r="M152" s="53">
        <v>263566</v>
      </c>
      <c r="N152" s="76"/>
      <c r="O152" s="76">
        <v>1261019872</v>
      </c>
      <c r="P152" s="75"/>
      <c r="Q152" s="76">
        <v>-1218141852</v>
      </c>
      <c r="R152" s="76"/>
      <c r="S152" s="76">
        <f t="shared" si="6"/>
        <v>42878020</v>
      </c>
      <c r="T152" s="70"/>
      <c r="U152" s="111"/>
    </row>
    <row r="153" spans="2:21">
      <c r="B153" s="53" t="s">
        <v>315</v>
      </c>
      <c r="C153" s="74" t="s">
        <v>146</v>
      </c>
      <c r="D153" s="75"/>
      <c r="E153" s="76">
        <v>43434</v>
      </c>
      <c r="F153" s="75"/>
      <c r="G153" s="76">
        <v>125927781</v>
      </c>
      <c r="H153" s="53"/>
      <c r="I153" s="76">
        <v>-109742871</v>
      </c>
      <c r="J153" s="75"/>
      <c r="K153" s="76">
        <f t="shared" si="7"/>
        <v>16184910</v>
      </c>
      <c r="L153" s="76"/>
      <c r="M153" s="53">
        <v>475613</v>
      </c>
      <c r="N153" s="76"/>
      <c r="O153" s="76">
        <v>1386456007</v>
      </c>
      <c r="P153" s="75"/>
      <c r="Q153" s="76">
        <v>-1281836190</v>
      </c>
      <c r="R153" s="76"/>
      <c r="S153" s="76">
        <f t="shared" si="6"/>
        <v>104619817</v>
      </c>
      <c r="T153" s="70"/>
      <c r="U153" s="111"/>
    </row>
    <row r="154" spans="2:21">
      <c r="B154" s="53" t="s">
        <v>314</v>
      </c>
      <c r="C154" s="74" t="s">
        <v>210</v>
      </c>
      <c r="D154" s="75"/>
      <c r="E154" s="76">
        <v>5258</v>
      </c>
      <c r="F154" s="75"/>
      <c r="G154" s="76">
        <v>101184762</v>
      </c>
      <c r="H154" s="53"/>
      <c r="I154" s="76">
        <v>-85102688</v>
      </c>
      <c r="J154" s="75"/>
      <c r="K154" s="76">
        <f t="shared" si="7"/>
        <v>16082074</v>
      </c>
      <c r="L154" s="76"/>
      <c r="M154" s="53">
        <v>76987</v>
      </c>
      <c r="N154" s="76"/>
      <c r="O154" s="76">
        <v>1349326147</v>
      </c>
      <c r="P154" s="75"/>
      <c r="Q154" s="76">
        <v>-1269807652</v>
      </c>
      <c r="R154" s="76"/>
      <c r="S154" s="76">
        <f t="shared" si="6"/>
        <v>79518495</v>
      </c>
      <c r="T154" s="70"/>
      <c r="U154" s="111"/>
    </row>
    <row r="155" spans="2:21">
      <c r="B155" s="53" t="s">
        <v>313</v>
      </c>
      <c r="C155" s="74" t="s">
        <v>225</v>
      </c>
      <c r="D155" s="75"/>
      <c r="E155" s="76">
        <v>23381</v>
      </c>
      <c r="F155" s="75"/>
      <c r="G155" s="76">
        <v>102752372</v>
      </c>
      <c r="H155" s="53"/>
      <c r="I155" s="76">
        <v>-75942592</v>
      </c>
      <c r="J155" s="75"/>
      <c r="K155" s="76">
        <f t="shared" si="7"/>
        <v>26809780</v>
      </c>
      <c r="L155" s="76"/>
      <c r="M155" s="53">
        <v>389675</v>
      </c>
      <c r="N155" s="76"/>
      <c r="O155" s="76">
        <v>1342019514</v>
      </c>
      <c r="P155" s="75"/>
      <c r="Q155" s="76">
        <v>-1270097465</v>
      </c>
      <c r="R155" s="76"/>
      <c r="S155" s="76">
        <f t="shared" si="6"/>
        <v>71922049</v>
      </c>
      <c r="T155" s="70"/>
      <c r="U155" s="111"/>
    </row>
    <row r="156" spans="2:21">
      <c r="B156" s="53" t="s">
        <v>312</v>
      </c>
      <c r="C156" s="74" t="s">
        <v>259</v>
      </c>
      <c r="D156" s="75"/>
      <c r="E156" s="76">
        <v>8573</v>
      </c>
      <c r="F156" s="75"/>
      <c r="G156" s="76">
        <v>58485992</v>
      </c>
      <c r="H156" s="53"/>
      <c r="I156" s="76">
        <v>-37283223</v>
      </c>
      <c r="J156" s="75"/>
      <c r="K156" s="76">
        <f t="shared" si="7"/>
        <v>21202769</v>
      </c>
      <c r="L156" s="76"/>
      <c r="M156" s="53">
        <v>1116482</v>
      </c>
      <c r="N156" s="76"/>
      <c r="O156" s="76">
        <v>7527664376</v>
      </c>
      <c r="P156" s="75"/>
      <c r="Q156" s="76">
        <v>-4838220361</v>
      </c>
      <c r="R156" s="76"/>
      <c r="S156" s="76">
        <f t="shared" si="6"/>
        <v>2689444015</v>
      </c>
      <c r="T156" s="70"/>
      <c r="U156" s="111"/>
    </row>
    <row r="157" spans="2:21">
      <c r="B157" s="53" t="s">
        <v>311</v>
      </c>
      <c r="C157" s="74" t="s">
        <v>258</v>
      </c>
      <c r="D157" s="75"/>
      <c r="E157" s="76">
        <v>2669</v>
      </c>
      <c r="F157" s="75"/>
      <c r="G157" s="76">
        <v>57078476</v>
      </c>
      <c r="H157" s="53"/>
      <c r="I157" s="76">
        <v>-44757693</v>
      </c>
      <c r="J157" s="75"/>
      <c r="K157" s="76">
        <f t="shared" si="7"/>
        <v>12320783</v>
      </c>
      <c r="L157" s="76"/>
      <c r="M157" s="53">
        <v>42681</v>
      </c>
      <c r="N157" s="76"/>
      <c r="O157" s="76">
        <v>867187610</v>
      </c>
      <c r="P157" s="75"/>
      <c r="Q157" s="76">
        <v>-713464964</v>
      </c>
      <c r="R157" s="76"/>
      <c r="S157" s="76">
        <f t="shared" si="6"/>
        <v>153722646</v>
      </c>
      <c r="T157" s="70"/>
      <c r="U157" s="111"/>
    </row>
    <row r="158" spans="2:21">
      <c r="B158" s="53" t="s">
        <v>310</v>
      </c>
      <c r="C158" s="74" t="s">
        <v>265</v>
      </c>
      <c r="D158" s="75"/>
      <c r="E158" s="76">
        <v>1992</v>
      </c>
      <c r="F158" s="75"/>
      <c r="G158" s="76">
        <v>15776236</v>
      </c>
      <c r="H158" s="53"/>
      <c r="I158" s="76">
        <v>-9927407</v>
      </c>
      <c r="J158" s="75"/>
      <c r="K158" s="76">
        <f t="shared" si="7"/>
        <v>5848829</v>
      </c>
      <c r="L158" s="76"/>
      <c r="M158" s="53">
        <v>30370</v>
      </c>
      <c r="N158" s="76"/>
      <c r="O158" s="76">
        <v>208864056</v>
      </c>
      <c r="P158" s="75"/>
      <c r="Q158" s="76">
        <v>-187096020</v>
      </c>
      <c r="R158" s="76"/>
      <c r="S158" s="76">
        <f t="shared" si="6"/>
        <v>21768036</v>
      </c>
      <c r="T158" s="70"/>
      <c r="U158" s="111"/>
    </row>
    <row r="159" spans="2:21">
      <c r="B159" s="53" t="s">
        <v>501</v>
      </c>
      <c r="C159" s="74" t="s">
        <v>482</v>
      </c>
      <c r="D159" s="75"/>
      <c r="E159" s="76"/>
      <c r="F159" s="75"/>
      <c r="G159" s="76"/>
      <c r="H159" s="53"/>
      <c r="I159" s="76"/>
      <c r="J159" s="75"/>
      <c r="K159" s="76">
        <f t="shared" si="7"/>
        <v>0</v>
      </c>
      <c r="L159" s="76"/>
      <c r="M159" s="53">
        <v>12047</v>
      </c>
      <c r="N159" s="76"/>
      <c r="O159" s="76">
        <v>57829876</v>
      </c>
      <c r="P159" s="75"/>
      <c r="Q159" s="76">
        <v>-48001933</v>
      </c>
      <c r="R159" s="76"/>
      <c r="S159" s="76">
        <f t="shared" si="6"/>
        <v>9827943</v>
      </c>
      <c r="T159" s="70"/>
      <c r="U159" s="111"/>
    </row>
    <row r="160" spans="2:21">
      <c r="B160" s="53" t="s">
        <v>309</v>
      </c>
      <c r="C160" s="74" t="s">
        <v>181</v>
      </c>
      <c r="D160" s="75"/>
      <c r="E160" s="76">
        <v>2141</v>
      </c>
      <c r="F160" s="75"/>
      <c r="G160" s="76">
        <v>35602164</v>
      </c>
      <c r="H160" s="53"/>
      <c r="I160" s="76">
        <v>-36818165</v>
      </c>
      <c r="J160" s="75"/>
      <c r="K160" s="76">
        <f t="shared" si="7"/>
        <v>-1216001</v>
      </c>
      <c r="L160" s="76"/>
      <c r="M160" s="53">
        <v>32784</v>
      </c>
      <c r="N160" s="76"/>
      <c r="O160" s="76">
        <v>613573029</v>
      </c>
      <c r="P160" s="75"/>
      <c r="Q160" s="76">
        <v>-627846106</v>
      </c>
      <c r="R160" s="76"/>
      <c r="S160" s="76">
        <f t="shared" si="6"/>
        <v>-14273077</v>
      </c>
      <c r="T160" s="70"/>
      <c r="U160" s="111"/>
    </row>
    <row r="161" spans="2:21">
      <c r="B161" s="53" t="s">
        <v>308</v>
      </c>
      <c r="C161" s="74" t="s">
        <v>186</v>
      </c>
      <c r="D161" s="75"/>
      <c r="E161" s="76">
        <v>20156</v>
      </c>
      <c r="F161" s="75"/>
      <c r="G161" s="76">
        <v>349936234</v>
      </c>
      <c r="H161" s="53"/>
      <c r="I161" s="76">
        <v>-391926325</v>
      </c>
      <c r="J161" s="75"/>
      <c r="K161" s="76">
        <f t="shared" si="7"/>
        <v>-41990091</v>
      </c>
      <c r="L161" s="76"/>
      <c r="M161" s="53">
        <v>303909</v>
      </c>
      <c r="N161" s="76"/>
      <c r="O161" s="76">
        <v>5333960279</v>
      </c>
      <c r="P161" s="75"/>
      <c r="Q161" s="76">
        <v>-6008854915</v>
      </c>
      <c r="R161" s="76"/>
      <c r="S161" s="76">
        <f t="shared" si="6"/>
        <v>-674894636</v>
      </c>
      <c r="T161" s="70"/>
      <c r="U161" s="111"/>
    </row>
    <row r="162" spans="2:21">
      <c r="B162" s="53" t="s">
        <v>307</v>
      </c>
      <c r="C162" s="74" t="s">
        <v>126</v>
      </c>
      <c r="D162" s="75"/>
      <c r="E162" s="76">
        <v>1202</v>
      </c>
      <c r="F162" s="75"/>
      <c r="G162" s="76">
        <v>95111449</v>
      </c>
      <c r="H162" s="53"/>
      <c r="I162" s="76">
        <v>-91194279</v>
      </c>
      <c r="J162" s="75"/>
      <c r="K162" s="76">
        <f t="shared" si="7"/>
        <v>3917170</v>
      </c>
      <c r="L162" s="76"/>
      <c r="M162" s="53">
        <v>22695</v>
      </c>
      <c r="N162" s="76"/>
      <c r="O162" s="76">
        <v>1656614919</v>
      </c>
      <c r="P162" s="75"/>
      <c r="Q162" s="76">
        <v>-1720822023</v>
      </c>
      <c r="R162" s="76"/>
      <c r="S162" s="76">
        <f t="shared" si="6"/>
        <v>-64207104</v>
      </c>
      <c r="T162" s="70"/>
      <c r="U162" s="111"/>
    </row>
    <row r="163" spans="2:21">
      <c r="B163" s="53" t="s">
        <v>306</v>
      </c>
      <c r="C163" s="74" t="s">
        <v>221</v>
      </c>
      <c r="D163" s="75"/>
      <c r="E163" s="76">
        <v>2902</v>
      </c>
      <c r="F163" s="75"/>
      <c r="G163" s="76">
        <v>111776898</v>
      </c>
      <c r="H163" s="53"/>
      <c r="I163" s="76">
        <v>-127795288</v>
      </c>
      <c r="J163" s="75"/>
      <c r="K163" s="76">
        <f t="shared" si="7"/>
        <v>-16018390</v>
      </c>
      <c r="L163" s="76"/>
      <c r="M163" s="53">
        <v>53188</v>
      </c>
      <c r="N163" s="76"/>
      <c r="O163" s="76">
        <v>1976109457</v>
      </c>
      <c r="P163" s="75"/>
      <c r="Q163" s="76">
        <v>-2340117789</v>
      </c>
      <c r="R163" s="76"/>
      <c r="S163" s="76">
        <f t="shared" si="6"/>
        <v>-364008332</v>
      </c>
      <c r="T163" s="70"/>
      <c r="U163" s="111"/>
    </row>
    <row r="164" spans="2:21">
      <c r="B164" s="53" t="s">
        <v>305</v>
      </c>
      <c r="C164" s="74" t="s">
        <v>188</v>
      </c>
      <c r="D164" s="75"/>
      <c r="E164" s="76">
        <v>12561</v>
      </c>
      <c r="F164" s="75"/>
      <c r="G164" s="76">
        <v>452953257</v>
      </c>
      <c r="H164" s="53"/>
      <c r="I164" s="76">
        <v>-492995042</v>
      </c>
      <c r="J164" s="75"/>
      <c r="K164" s="76">
        <f t="shared" si="7"/>
        <v>-40041785</v>
      </c>
      <c r="L164" s="76"/>
      <c r="M164" s="53">
        <v>172122</v>
      </c>
      <c r="N164" s="76"/>
      <c r="O164" s="76">
        <v>5927530951</v>
      </c>
      <c r="P164" s="75"/>
      <c r="Q164" s="76">
        <v>-6981522492</v>
      </c>
      <c r="R164" s="76"/>
      <c r="S164" s="76">
        <f t="shared" si="6"/>
        <v>-1053991541</v>
      </c>
      <c r="T164" s="70"/>
      <c r="U164" s="111"/>
    </row>
    <row r="165" spans="2:21">
      <c r="B165" s="53" t="s">
        <v>304</v>
      </c>
      <c r="C165" s="74" t="s">
        <v>183</v>
      </c>
      <c r="D165" s="75"/>
      <c r="E165" s="76">
        <v>1238693</v>
      </c>
      <c r="F165" s="75"/>
      <c r="G165" s="76">
        <v>4889058540</v>
      </c>
      <c r="H165" s="53"/>
      <c r="I165" s="76">
        <f>-(4134314400+138375640)</f>
        <v>-4272690040</v>
      </c>
      <c r="J165" s="75"/>
      <c r="K165" s="76">
        <f t="shared" si="7"/>
        <v>616368500</v>
      </c>
      <c r="L165" s="76"/>
      <c r="M165" s="53">
        <v>1437637</v>
      </c>
      <c r="N165" s="76"/>
      <c r="O165" s="76">
        <v>5688722205</v>
      </c>
      <c r="P165" s="75"/>
      <c r="Q165" s="76">
        <v>-4944631262</v>
      </c>
      <c r="R165" s="76"/>
      <c r="S165" s="76">
        <f t="shared" si="6"/>
        <v>744090943</v>
      </c>
      <c r="T165" s="70"/>
      <c r="U165" s="111"/>
    </row>
    <row r="166" spans="2:21">
      <c r="B166" s="53" t="s">
        <v>303</v>
      </c>
      <c r="C166" s="74" t="s">
        <v>88</v>
      </c>
      <c r="D166" s="75"/>
      <c r="E166" s="76">
        <v>89121</v>
      </c>
      <c r="F166" s="75"/>
      <c r="G166" s="76">
        <v>657356439</v>
      </c>
      <c r="H166" s="53"/>
      <c r="I166" s="76">
        <v>-622274436</v>
      </c>
      <c r="J166" s="75"/>
      <c r="K166" s="76">
        <f t="shared" si="7"/>
        <v>35082003</v>
      </c>
      <c r="L166" s="76"/>
      <c r="M166" s="53">
        <v>1630598</v>
      </c>
      <c r="N166" s="76"/>
      <c r="O166" s="76">
        <v>11416474045</v>
      </c>
      <c r="P166" s="75"/>
      <c r="Q166" s="76">
        <v>-11235321034</v>
      </c>
      <c r="R166" s="76"/>
      <c r="S166" s="76">
        <f t="shared" si="6"/>
        <v>181153011</v>
      </c>
      <c r="T166" s="70"/>
      <c r="U166" s="111"/>
    </row>
    <row r="167" spans="2:21">
      <c r="B167" s="53" t="s">
        <v>302</v>
      </c>
      <c r="C167" s="74" t="s">
        <v>257</v>
      </c>
      <c r="D167" s="75"/>
      <c r="E167" s="76"/>
      <c r="F167" s="75"/>
      <c r="G167" s="76"/>
      <c r="H167" s="53"/>
      <c r="I167" s="76"/>
      <c r="J167" s="75"/>
      <c r="K167" s="76">
        <f t="shared" si="7"/>
        <v>0</v>
      </c>
      <c r="L167" s="76"/>
      <c r="M167" s="53">
        <v>127166</v>
      </c>
      <c r="N167" s="76"/>
      <c r="O167" s="76">
        <v>228730609</v>
      </c>
      <c r="P167" s="75"/>
      <c r="Q167" s="76">
        <v>-203999707</v>
      </c>
      <c r="R167" s="76"/>
      <c r="S167" s="76">
        <f t="shared" si="6"/>
        <v>24730902</v>
      </c>
      <c r="T167" s="70"/>
      <c r="U167" s="111"/>
    </row>
    <row r="168" spans="2:21">
      <c r="B168" s="53" t="s">
        <v>301</v>
      </c>
      <c r="C168" s="74" t="s">
        <v>273</v>
      </c>
      <c r="D168" s="75"/>
      <c r="E168" s="76">
        <v>24131</v>
      </c>
      <c r="F168" s="75"/>
      <c r="G168" s="76">
        <v>70236449</v>
      </c>
      <c r="H168" s="53"/>
      <c r="I168" s="76">
        <v>-58412360</v>
      </c>
      <c r="J168" s="75"/>
      <c r="K168" s="76">
        <f t="shared" si="7"/>
        <v>11824089</v>
      </c>
      <c r="L168" s="76"/>
      <c r="M168" s="53">
        <v>382305</v>
      </c>
      <c r="N168" s="76"/>
      <c r="O168" s="76">
        <v>1072809164</v>
      </c>
      <c r="P168" s="75"/>
      <c r="Q168" s="76">
        <v>-917232328</v>
      </c>
      <c r="R168" s="76"/>
      <c r="S168" s="76">
        <f t="shared" si="6"/>
        <v>155576836</v>
      </c>
      <c r="T168" s="70"/>
      <c r="U168" s="111"/>
    </row>
    <row r="169" spans="2:21">
      <c r="B169" s="53" t="s">
        <v>300</v>
      </c>
      <c r="C169" s="74" t="s">
        <v>116</v>
      </c>
      <c r="D169" s="75"/>
      <c r="E169" s="76">
        <v>6475</v>
      </c>
      <c r="F169" s="75"/>
      <c r="G169" s="76">
        <v>36633656</v>
      </c>
      <c r="H169" s="53"/>
      <c r="I169" s="76">
        <v>-39034119</v>
      </c>
      <c r="J169" s="75"/>
      <c r="K169" s="76">
        <f t="shared" si="7"/>
        <v>-2400463</v>
      </c>
      <c r="L169" s="76"/>
      <c r="M169" s="53">
        <v>268594</v>
      </c>
      <c r="N169" s="76"/>
      <c r="O169" s="76">
        <v>1487694656</v>
      </c>
      <c r="P169" s="75"/>
      <c r="Q169" s="76">
        <v>-1648775671</v>
      </c>
      <c r="R169" s="76"/>
      <c r="S169" s="76">
        <f t="shared" si="6"/>
        <v>-161081015</v>
      </c>
      <c r="T169" s="70"/>
      <c r="U169" s="111"/>
    </row>
    <row r="170" spans="2:21">
      <c r="B170" s="53" t="s">
        <v>299</v>
      </c>
      <c r="C170" s="74" t="s">
        <v>108</v>
      </c>
      <c r="D170" s="75"/>
      <c r="E170" s="76">
        <v>4000</v>
      </c>
      <c r="F170" s="75"/>
      <c r="G170" s="76">
        <v>135002020</v>
      </c>
      <c r="H170" s="53"/>
      <c r="I170" s="76">
        <v>-113428632</v>
      </c>
      <c r="J170" s="75"/>
      <c r="K170" s="76">
        <f t="shared" si="7"/>
        <v>21573388</v>
      </c>
      <c r="L170" s="76"/>
      <c r="M170" s="53">
        <v>107545</v>
      </c>
      <c r="N170" s="76"/>
      <c r="O170" s="76">
        <v>2985481405</v>
      </c>
      <c r="P170" s="75"/>
      <c r="Q170" s="76">
        <v>-3055828809</v>
      </c>
      <c r="R170" s="76"/>
      <c r="S170" s="76">
        <f t="shared" si="6"/>
        <v>-70347404</v>
      </c>
      <c r="T170" s="70"/>
      <c r="U170" s="111"/>
    </row>
    <row r="171" spans="2:21">
      <c r="B171" s="53" t="s">
        <v>298</v>
      </c>
      <c r="C171" s="74" t="s">
        <v>275</v>
      </c>
      <c r="D171" s="75"/>
      <c r="E171" s="76"/>
      <c r="F171" s="75"/>
      <c r="G171" s="76"/>
      <c r="H171" s="53"/>
      <c r="I171" s="76"/>
      <c r="J171" s="75"/>
      <c r="K171" s="76">
        <f t="shared" si="7"/>
        <v>0</v>
      </c>
      <c r="L171" s="76"/>
      <c r="M171" s="53">
        <v>7699</v>
      </c>
      <c r="N171" s="76"/>
      <c r="O171" s="76">
        <v>1097419297</v>
      </c>
      <c r="P171" s="75"/>
      <c r="Q171" s="76">
        <v>-913838001</v>
      </c>
      <c r="R171" s="76"/>
      <c r="S171" s="76">
        <f t="shared" si="6"/>
        <v>183581296</v>
      </c>
      <c r="T171" s="70"/>
      <c r="U171" s="111"/>
    </row>
    <row r="172" spans="2:21">
      <c r="B172" s="53" t="s">
        <v>297</v>
      </c>
      <c r="C172" s="74" t="s">
        <v>111</v>
      </c>
      <c r="D172" s="75"/>
      <c r="E172" s="76"/>
      <c r="F172" s="75"/>
      <c r="G172" s="76"/>
      <c r="H172" s="53"/>
      <c r="I172" s="76"/>
      <c r="J172" s="75"/>
      <c r="K172" s="76">
        <f t="shared" si="7"/>
        <v>0</v>
      </c>
      <c r="L172" s="76"/>
      <c r="M172" s="53">
        <v>487706</v>
      </c>
      <c r="N172" s="76"/>
      <c r="O172" s="76">
        <v>2135424871</v>
      </c>
      <c r="P172" s="75"/>
      <c r="Q172" s="76">
        <v>-2133652948</v>
      </c>
      <c r="R172" s="76"/>
      <c r="S172" s="76">
        <f>O172+Q172</f>
        <v>1771923</v>
      </c>
      <c r="T172" s="70"/>
      <c r="U172" s="111"/>
    </row>
    <row r="173" spans="2:21">
      <c r="B173" s="53" t="s">
        <v>452</v>
      </c>
      <c r="C173" s="74" t="s">
        <v>443</v>
      </c>
      <c r="D173" s="75"/>
      <c r="E173" s="76"/>
      <c r="F173" s="75"/>
      <c r="G173" s="76"/>
      <c r="H173" s="53"/>
      <c r="I173" s="76"/>
      <c r="J173" s="75"/>
      <c r="K173" s="76">
        <f t="shared" si="7"/>
        <v>0</v>
      </c>
      <c r="L173" s="76"/>
      <c r="M173" s="53">
        <v>10156</v>
      </c>
      <c r="N173" s="76"/>
      <c r="O173" s="76">
        <v>18587882</v>
      </c>
      <c r="P173" s="75"/>
      <c r="Q173" s="76">
        <v>-23631702</v>
      </c>
      <c r="R173" s="76"/>
      <c r="S173" s="76">
        <f t="shared" ref="S173:S198" si="8">O173+Q173</f>
        <v>-5043820</v>
      </c>
      <c r="T173" s="70"/>
      <c r="U173" s="111"/>
    </row>
    <row r="174" spans="2:21">
      <c r="B174" s="53" t="s">
        <v>296</v>
      </c>
      <c r="C174" s="74" t="s">
        <v>202</v>
      </c>
      <c r="D174" s="75"/>
      <c r="E174" s="76">
        <v>40605</v>
      </c>
      <c r="F174" s="75"/>
      <c r="G174" s="76">
        <v>123428282</v>
      </c>
      <c r="H174" s="53"/>
      <c r="I174" s="76">
        <v>-136432962</v>
      </c>
      <c r="J174" s="75"/>
      <c r="K174" s="76">
        <f t="shared" si="7"/>
        <v>-13004680</v>
      </c>
      <c r="L174" s="76"/>
      <c r="M174" s="53">
        <v>713952</v>
      </c>
      <c r="N174" s="76"/>
      <c r="O174" s="76">
        <v>2284895505</v>
      </c>
      <c r="P174" s="75"/>
      <c r="Q174" s="76">
        <v>-2435775343</v>
      </c>
      <c r="R174" s="76"/>
      <c r="S174" s="76">
        <f t="shared" si="8"/>
        <v>-150879838</v>
      </c>
      <c r="T174" s="70"/>
      <c r="U174" s="111"/>
    </row>
    <row r="175" spans="2:21">
      <c r="B175" s="53" t="s">
        <v>295</v>
      </c>
      <c r="C175" s="74" t="s">
        <v>92</v>
      </c>
      <c r="D175" s="75"/>
      <c r="E175" s="76">
        <v>73472</v>
      </c>
      <c r="F175" s="75"/>
      <c r="G175" s="76">
        <v>134527862</v>
      </c>
      <c r="H175" s="53"/>
      <c r="I175" s="76">
        <v>-129606065</v>
      </c>
      <c r="J175" s="75"/>
      <c r="K175" s="76">
        <f t="shared" si="7"/>
        <v>4921797</v>
      </c>
      <c r="L175" s="76"/>
      <c r="M175" s="53">
        <v>1198118</v>
      </c>
      <c r="N175" s="76"/>
      <c r="O175" s="76">
        <v>2096456833</v>
      </c>
      <c r="P175" s="75"/>
      <c r="Q175" s="76">
        <v>-2099763845</v>
      </c>
      <c r="R175" s="76"/>
      <c r="S175" s="76">
        <f t="shared" si="8"/>
        <v>-3307012</v>
      </c>
      <c r="T175" s="70"/>
      <c r="U175" s="111"/>
    </row>
    <row r="176" spans="2:21">
      <c r="B176" s="53" t="s">
        <v>294</v>
      </c>
      <c r="C176" s="74" t="s">
        <v>149</v>
      </c>
      <c r="D176" s="75"/>
      <c r="E176" s="76">
        <v>59965</v>
      </c>
      <c r="F176" s="75"/>
      <c r="G176" s="76">
        <v>106901111</v>
      </c>
      <c r="H176" s="53"/>
      <c r="I176" s="76">
        <v>-107530372</v>
      </c>
      <c r="J176" s="75"/>
      <c r="K176" s="76">
        <f t="shared" si="7"/>
        <v>-629261</v>
      </c>
      <c r="L176" s="76"/>
      <c r="M176" s="53">
        <v>1009716</v>
      </c>
      <c r="N176" s="76"/>
      <c r="O176" s="76">
        <v>1816839010</v>
      </c>
      <c r="P176" s="75"/>
      <c r="Q176" s="76">
        <v>-1842365998</v>
      </c>
      <c r="R176" s="76"/>
      <c r="S176" s="76">
        <f t="shared" si="8"/>
        <v>-25526988</v>
      </c>
      <c r="T176" s="70"/>
      <c r="U176" s="111"/>
    </row>
    <row r="177" spans="2:21">
      <c r="B177" s="53" t="s">
        <v>500</v>
      </c>
      <c r="C177" s="74" t="s">
        <v>481</v>
      </c>
      <c r="D177" s="75"/>
      <c r="E177" s="76">
        <v>2640</v>
      </c>
      <c r="F177" s="75"/>
      <c r="G177" s="76">
        <v>46312117</v>
      </c>
      <c r="H177" s="53"/>
      <c r="I177" s="76">
        <v>-39213284</v>
      </c>
      <c r="J177" s="75"/>
      <c r="K177" s="76">
        <f t="shared" si="7"/>
        <v>7098833</v>
      </c>
      <c r="L177" s="76"/>
      <c r="M177" s="53">
        <v>32634</v>
      </c>
      <c r="N177" s="76"/>
      <c r="O177" s="76">
        <v>596916477</v>
      </c>
      <c r="P177" s="75"/>
      <c r="Q177" s="76">
        <v>-484055500</v>
      </c>
      <c r="R177" s="76"/>
      <c r="S177" s="76">
        <f t="shared" si="8"/>
        <v>112860977</v>
      </c>
      <c r="T177" s="70"/>
      <c r="U177" s="111"/>
    </row>
    <row r="178" spans="2:21">
      <c r="B178" s="53" t="s">
        <v>499</v>
      </c>
      <c r="C178" s="74" t="s">
        <v>480</v>
      </c>
      <c r="D178" s="75"/>
      <c r="E178" s="76">
        <v>18763</v>
      </c>
      <c r="F178" s="75"/>
      <c r="G178" s="76">
        <v>112059246</v>
      </c>
      <c r="H178" s="53"/>
      <c r="I178" s="76">
        <v>-98905066</v>
      </c>
      <c r="J178" s="75"/>
      <c r="K178" s="76">
        <f t="shared" si="7"/>
        <v>13154180</v>
      </c>
      <c r="L178" s="76"/>
      <c r="M178" s="53">
        <v>247542</v>
      </c>
      <c r="N178" s="76"/>
      <c r="O178" s="76">
        <v>1467629637</v>
      </c>
      <c r="P178" s="75"/>
      <c r="Q178" s="76">
        <v>-1304780714</v>
      </c>
      <c r="R178" s="76"/>
      <c r="S178" s="76">
        <f t="shared" si="8"/>
        <v>162848923</v>
      </c>
      <c r="T178" s="70"/>
      <c r="U178" s="111"/>
    </row>
    <row r="179" spans="2:21">
      <c r="B179" s="53" t="s">
        <v>293</v>
      </c>
      <c r="C179" s="74" t="s">
        <v>113</v>
      </c>
      <c r="D179" s="75"/>
      <c r="E179" s="76">
        <v>189372</v>
      </c>
      <c r="F179" s="75"/>
      <c r="G179" s="76">
        <v>329865360</v>
      </c>
      <c r="H179" s="53"/>
      <c r="I179" s="76">
        <v>-278278522</v>
      </c>
      <c r="J179" s="75"/>
      <c r="K179" s="76">
        <f t="shared" si="7"/>
        <v>51586838</v>
      </c>
      <c r="L179" s="76"/>
      <c r="M179" s="53">
        <v>3177641</v>
      </c>
      <c r="N179" s="76"/>
      <c r="O179" s="76">
        <v>4897575744</v>
      </c>
      <c r="P179" s="75"/>
      <c r="Q179" s="76">
        <v>-4633513110</v>
      </c>
      <c r="R179" s="76"/>
      <c r="S179" s="76">
        <f t="shared" si="8"/>
        <v>264062634</v>
      </c>
      <c r="T179" s="70"/>
      <c r="U179" s="111"/>
    </row>
    <row r="180" spans="2:21">
      <c r="B180" s="53" t="s">
        <v>292</v>
      </c>
      <c r="C180" s="74" t="s">
        <v>222</v>
      </c>
      <c r="D180" s="75"/>
      <c r="E180" s="76">
        <v>8731</v>
      </c>
      <c r="F180" s="75"/>
      <c r="G180" s="76">
        <v>99535336</v>
      </c>
      <c r="H180" s="53"/>
      <c r="I180" s="76">
        <v>-87904229</v>
      </c>
      <c r="J180" s="75"/>
      <c r="K180" s="76">
        <f t="shared" si="7"/>
        <v>11631107</v>
      </c>
      <c r="L180" s="76"/>
      <c r="M180" s="53">
        <v>371313</v>
      </c>
      <c r="N180" s="76"/>
      <c r="O180" s="76">
        <v>4560659273</v>
      </c>
      <c r="P180" s="75"/>
      <c r="Q180" s="76">
        <v>-3752377485</v>
      </c>
      <c r="R180" s="76"/>
      <c r="S180" s="76">
        <f t="shared" si="8"/>
        <v>808281788</v>
      </c>
      <c r="T180" s="70"/>
      <c r="U180" s="111"/>
    </row>
    <row r="181" spans="2:21">
      <c r="B181" s="53" t="s">
        <v>498</v>
      </c>
      <c r="C181" s="74" t="s">
        <v>479</v>
      </c>
      <c r="D181" s="75"/>
      <c r="E181" s="76">
        <v>14141</v>
      </c>
      <c r="F181" s="75"/>
      <c r="G181" s="76">
        <v>141691628</v>
      </c>
      <c r="H181" s="53"/>
      <c r="I181" s="76">
        <v>-128633648</v>
      </c>
      <c r="J181" s="75"/>
      <c r="K181" s="76">
        <f t="shared" si="7"/>
        <v>13057980</v>
      </c>
      <c r="L181" s="76"/>
      <c r="M181" s="53">
        <v>118077</v>
      </c>
      <c r="N181" s="76"/>
      <c r="O181" s="76">
        <v>1126747185</v>
      </c>
      <c r="P181" s="75"/>
      <c r="Q181" s="76">
        <v>-1057502653</v>
      </c>
      <c r="R181" s="76"/>
      <c r="S181" s="76">
        <f t="shared" si="8"/>
        <v>69244532</v>
      </c>
      <c r="T181" s="70"/>
      <c r="U181" s="111"/>
    </row>
    <row r="182" spans="2:21">
      <c r="B182" s="53" t="s">
        <v>291</v>
      </c>
      <c r="C182" s="74" t="s">
        <v>140</v>
      </c>
      <c r="D182" s="75"/>
      <c r="E182" s="76">
        <v>41704</v>
      </c>
      <c r="F182" s="75"/>
      <c r="G182" s="76">
        <v>123893169</v>
      </c>
      <c r="H182" s="53"/>
      <c r="I182" s="76">
        <v>-127811572</v>
      </c>
      <c r="J182" s="75"/>
      <c r="K182" s="76">
        <f t="shared" si="7"/>
        <v>-3918403</v>
      </c>
      <c r="L182" s="76"/>
      <c r="M182" s="53">
        <v>4613911</v>
      </c>
      <c r="N182" s="76"/>
      <c r="O182" s="76">
        <v>12541025652</v>
      </c>
      <c r="P182" s="75"/>
      <c r="Q182" s="76">
        <v>-14103381085</v>
      </c>
      <c r="R182" s="76"/>
      <c r="S182" s="76">
        <f t="shared" si="8"/>
        <v>-1562355433</v>
      </c>
      <c r="T182" s="70"/>
      <c r="U182" s="111"/>
    </row>
    <row r="183" spans="2:21">
      <c r="B183" s="53" t="s">
        <v>290</v>
      </c>
      <c r="C183" s="74" t="s">
        <v>110</v>
      </c>
      <c r="D183" s="75"/>
      <c r="E183" s="76">
        <v>52089</v>
      </c>
      <c r="F183" s="75"/>
      <c r="G183" s="76">
        <v>116716039</v>
      </c>
      <c r="H183" s="53"/>
      <c r="I183" s="76">
        <v>-112723226</v>
      </c>
      <c r="J183" s="75"/>
      <c r="K183" s="76">
        <f t="shared" si="7"/>
        <v>3992813</v>
      </c>
      <c r="L183" s="76"/>
      <c r="M183" s="53">
        <v>968692</v>
      </c>
      <c r="N183" s="76"/>
      <c r="O183" s="76">
        <v>2131633066</v>
      </c>
      <c r="P183" s="75"/>
      <c r="Q183" s="76">
        <v>-2095988994</v>
      </c>
      <c r="R183" s="76"/>
      <c r="S183" s="76">
        <f t="shared" si="8"/>
        <v>35644072</v>
      </c>
      <c r="T183" s="70"/>
      <c r="U183" s="111"/>
    </row>
    <row r="184" spans="2:21">
      <c r="B184" s="53" t="s">
        <v>289</v>
      </c>
      <c r="C184" s="74" t="s">
        <v>213</v>
      </c>
      <c r="D184" s="75"/>
      <c r="E184" s="76">
        <v>139769</v>
      </c>
      <c r="F184" s="75"/>
      <c r="G184" s="76">
        <v>590482992</v>
      </c>
      <c r="H184" s="53"/>
      <c r="I184" s="76">
        <v>-556528267</v>
      </c>
      <c r="J184" s="75"/>
      <c r="K184" s="76">
        <f t="shared" si="7"/>
        <v>33954725</v>
      </c>
      <c r="L184" s="76"/>
      <c r="M184" s="53">
        <v>2390615</v>
      </c>
      <c r="N184" s="76"/>
      <c r="O184" s="76">
        <v>9961830403</v>
      </c>
      <c r="P184" s="75"/>
      <c r="Q184" s="76">
        <v>-9845750887</v>
      </c>
      <c r="R184" s="76"/>
      <c r="S184" s="76">
        <f t="shared" si="8"/>
        <v>116079516</v>
      </c>
      <c r="T184" s="70"/>
      <c r="U184" s="111"/>
    </row>
    <row r="185" spans="2:21">
      <c r="B185" s="53" t="s">
        <v>288</v>
      </c>
      <c r="C185" s="74" t="s">
        <v>129</v>
      </c>
      <c r="D185" s="75"/>
      <c r="E185" s="76">
        <v>30751</v>
      </c>
      <c r="F185" s="75"/>
      <c r="G185" s="76">
        <v>180945605</v>
      </c>
      <c r="H185" s="53"/>
      <c r="I185" s="76">
        <v>-178676622</v>
      </c>
      <c r="J185" s="75"/>
      <c r="K185" s="76">
        <f t="shared" si="7"/>
        <v>2268983</v>
      </c>
      <c r="L185" s="76"/>
      <c r="M185" s="53">
        <v>587456</v>
      </c>
      <c r="N185" s="76"/>
      <c r="O185" s="76">
        <v>3321333669</v>
      </c>
      <c r="P185" s="75"/>
      <c r="Q185" s="76">
        <v>-3428974369</v>
      </c>
      <c r="R185" s="76"/>
      <c r="S185" s="76">
        <f t="shared" si="8"/>
        <v>-107640700</v>
      </c>
      <c r="T185" s="70"/>
      <c r="U185" s="111"/>
    </row>
    <row r="186" spans="2:21">
      <c r="B186" s="53" t="s">
        <v>287</v>
      </c>
      <c r="C186" s="74" t="s">
        <v>99</v>
      </c>
      <c r="D186" s="75"/>
      <c r="E186" s="76">
        <v>39078</v>
      </c>
      <c r="F186" s="75"/>
      <c r="G186" s="76">
        <v>199267005</v>
      </c>
      <c r="H186" s="53"/>
      <c r="I186" s="76">
        <v>-181529351</v>
      </c>
      <c r="J186" s="75"/>
      <c r="K186" s="76">
        <f t="shared" si="7"/>
        <v>17737654</v>
      </c>
      <c r="L186" s="76"/>
      <c r="M186" s="53">
        <v>491566</v>
      </c>
      <c r="N186" s="76"/>
      <c r="O186" s="76">
        <v>2534567328</v>
      </c>
      <c r="P186" s="75"/>
      <c r="Q186" s="76">
        <v>-2595585378</v>
      </c>
      <c r="R186" s="76"/>
      <c r="S186" s="76">
        <f t="shared" si="8"/>
        <v>-61018050</v>
      </c>
      <c r="T186" s="70"/>
      <c r="U186" s="111"/>
    </row>
    <row r="187" spans="2:21">
      <c r="B187" s="53" t="s">
        <v>286</v>
      </c>
      <c r="C187" s="74" t="s">
        <v>212</v>
      </c>
      <c r="D187" s="75"/>
      <c r="E187" s="76">
        <v>12509</v>
      </c>
      <c r="F187" s="75"/>
      <c r="G187" s="76">
        <v>86431284</v>
      </c>
      <c r="H187" s="53"/>
      <c r="I187" s="76">
        <v>-88443553</v>
      </c>
      <c r="J187" s="75"/>
      <c r="K187" s="76">
        <f t="shared" si="7"/>
        <v>-2012269</v>
      </c>
      <c r="L187" s="76"/>
      <c r="M187" s="53">
        <v>193923</v>
      </c>
      <c r="N187" s="76"/>
      <c r="O187" s="76">
        <v>1321322366</v>
      </c>
      <c r="P187" s="75"/>
      <c r="Q187" s="76">
        <v>-1355120436</v>
      </c>
      <c r="R187" s="76"/>
      <c r="S187" s="76">
        <f t="shared" si="8"/>
        <v>-33798070</v>
      </c>
      <c r="T187" s="70"/>
      <c r="U187" s="111"/>
    </row>
    <row r="188" spans="2:21">
      <c r="B188" s="53" t="s">
        <v>285</v>
      </c>
      <c r="C188" s="74" t="s">
        <v>269</v>
      </c>
      <c r="D188" s="75"/>
      <c r="E188" s="76">
        <v>2125</v>
      </c>
      <c r="F188" s="75"/>
      <c r="G188" s="76">
        <v>22142141</v>
      </c>
      <c r="H188" s="53"/>
      <c r="I188" s="76">
        <v>-18867976</v>
      </c>
      <c r="J188" s="75"/>
      <c r="K188" s="76">
        <f t="shared" si="7"/>
        <v>3274165</v>
      </c>
      <c r="L188" s="76"/>
      <c r="M188" s="53">
        <v>33393</v>
      </c>
      <c r="N188" s="76"/>
      <c r="O188" s="76">
        <v>322074646</v>
      </c>
      <c r="P188" s="75"/>
      <c r="Q188" s="76">
        <v>-296216892</v>
      </c>
      <c r="R188" s="76"/>
      <c r="S188" s="76">
        <f t="shared" si="8"/>
        <v>25857754</v>
      </c>
      <c r="T188" s="70"/>
      <c r="U188" s="111"/>
    </row>
    <row r="189" spans="2:21">
      <c r="B189" s="53" t="s">
        <v>284</v>
      </c>
      <c r="C189" s="74" t="s">
        <v>168</v>
      </c>
      <c r="D189" s="75"/>
      <c r="E189" s="76">
        <v>634515</v>
      </c>
      <c r="F189" s="75"/>
      <c r="G189" s="76">
        <v>710856842</v>
      </c>
      <c r="H189" s="53"/>
      <c r="I189" s="76">
        <v>-563934959</v>
      </c>
      <c r="J189" s="75"/>
      <c r="K189" s="76">
        <f t="shared" si="7"/>
        <v>146921883</v>
      </c>
      <c r="L189" s="76"/>
      <c r="M189" s="53">
        <v>3056952</v>
      </c>
      <c r="N189" s="76"/>
      <c r="O189" s="76">
        <v>2772364361</v>
      </c>
      <c r="P189" s="75"/>
      <c r="Q189" s="76">
        <v>-2722745250</v>
      </c>
      <c r="R189" s="76"/>
      <c r="S189" s="76">
        <f t="shared" si="8"/>
        <v>49619111</v>
      </c>
      <c r="T189" s="70"/>
      <c r="U189" s="111"/>
    </row>
    <row r="190" spans="2:21">
      <c r="B190" s="53" t="s">
        <v>283</v>
      </c>
      <c r="C190" s="74" t="s">
        <v>173</v>
      </c>
      <c r="D190" s="75"/>
      <c r="E190" s="76">
        <v>16533</v>
      </c>
      <c r="F190" s="75"/>
      <c r="G190" s="76">
        <v>111176845</v>
      </c>
      <c r="H190" s="53"/>
      <c r="I190" s="76">
        <v>-113895399</v>
      </c>
      <c r="J190" s="75"/>
      <c r="K190" s="76">
        <f t="shared" si="7"/>
        <v>-2718554</v>
      </c>
      <c r="L190" s="76"/>
      <c r="M190" s="53">
        <v>539616</v>
      </c>
      <c r="N190" s="76"/>
      <c r="O190" s="76">
        <v>3494704745</v>
      </c>
      <c r="P190" s="75"/>
      <c r="Q190" s="76">
        <v>-3742183866</v>
      </c>
      <c r="R190" s="76"/>
      <c r="S190" s="76">
        <f t="shared" si="8"/>
        <v>-247479121</v>
      </c>
      <c r="T190" s="70"/>
      <c r="U190" s="111"/>
    </row>
    <row r="191" spans="2:21">
      <c r="B191" s="53" t="s">
        <v>282</v>
      </c>
      <c r="C191" s="74" t="s">
        <v>109</v>
      </c>
      <c r="D191" s="75"/>
      <c r="E191" s="76">
        <v>39813</v>
      </c>
      <c r="F191" s="75"/>
      <c r="G191" s="76">
        <v>125693738</v>
      </c>
      <c r="H191" s="53"/>
      <c r="I191" s="76">
        <v>-76432396</v>
      </c>
      <c r="J191" s="75"/>
      <c r="K191" s="76">
        <f t="shared" si="7"/>
        <v>49261342</v>
      </c>
      <c r="L191" s="76"/>
      <c r="M191" s="53">
        <v>454300</v>
      </c>
      <c r="N191" s="76"/>
      <c r="O191" s="76">
        <v>1245825643</v>
      </c>
      <c r="P191" s="75"/>
      <c r="Q191" s="76">
        <v>-1053545234</v>
      </c>
      <c r="R191" s="76"/>
      <c r="S191" s="76">
        <f t="shared" si="8"/>
        <v>192280409</v>
      </c>
      <c r="T191" s="70"/>
      <c r="U191" s="111"/>
    </row>
    <row r="192" spans="2:21">
      <c r="B192" s="53" t="s">
        <v>711</v>
      </c>
      <c r="C192" s="74" t="s">
        <v>515</v>
      </c>
      <c r="D192" s="75"/>
      <c r="E192" s="76"/>
      <c r="F192" s="75"/>
      <c r="G192" s="76"/>
      <c r="H192" s="53"/>
      <c r="I192" s="76"/>
      <c r="J192" s="75"/>
      <c r="K192" s="76">
        <f t="shared" si="7"/>
        <v>0</v>
      </c>
      <c r="L192" s="76"/>
      <c r="M192" s="53">
        <v>21455</v>
      </c>
      <c r="N192" s="76"/>
      <c r="O192" s="76">
        <v>344547979</v>
      </c>
      <c r="P192" s="75"/>
      <c r="Q192" s="76">
        <v>-339950715</v>
      </c>
      <c r="R192" s="76"/>
      <c r="S192" s="76">
        <f t="shared" si="8"/>
        <v>4597264</v>
      </c>
      <c r="T192" s="70"/>
      <c r="U192" s="111"/>
    </row>
    <row r="193" spans="2:21 16383:16383">
      <c r="B193" s="53" t="s">
        <v>281</v>
      </c>
      <c r="C193" s="74" t="s">
        <v>191</v>
      </c>
      <c r="D193" s="75"/>
      <c r="E193" s="76">
        <v>79911</v>
      </c>
      <c r="F193" s="75"/>
      <c r="G193" s="76">
        <v>161757383</v>
      </c>
      <c r="H193" s="53"/>
      <c r="I193" s="76">
        <v>-162290689</v>
      </c>
      <c r="J193" s="75"/>
      <c r="K193" s="76">
        <f t="shared" si="7"/>
        <v>-533306</v>
      </c>
      <c r="L193" s="76"/>
      <c r="M193" s="53">
        <v>1399632</v>
      </c>
      <c r="N193" s="76"/>
      <c r="O193" s="76">
        <v>2731936218</v>
      </c>
      <c r="P193" s="75"/>
      <c r="Q193" s="76">
        <v>-2842620564</v>
      </c>
      <c r="R193" s="76"/>
      <c r="S193" s="76">
        <f t="shared" si="8"/>
        <v>-110684346</v>
      </c>
      <c r="T193" s="70"/>
      <c r="U193" s="111"/>
    </row>
    <row r="194" spans="2:21 16383:16383">
      <c r="B194" s="53" t="s">
        <v>497</v>
      </c>
      <c r="C194" s="74" t="s">
        <v>478</v>
      </c>
      <c r="D194" s="75"/>
      <c r="E194" s="76">
        <v>8258</v>
      </c>
      <c r="F194" s="75"/>
      <c r="G194" s="76">
        <v>89059118</v>
      </c>
      <c r="H194" s="53"/>
      <c r="I194" s="76">
        <v>-80392749</v>
      </c>
      <c r="J194" s="75"/>
      <c r="K194" s="76">
        <f t="shared" si="7"/>
        <v>8666369</v>
      </c>
      <c r="L194" s="76"/>
      <c r="M194" s="53">
        <v>68915</v>
      </c>
      <c r="N194" s="76"/>
      <c r="O194" s="76">
        <v>691410474</v>
      </c>
      <c r="P194" s="75"/>
      <c r="Q194" s="76">
        <v>-631736487</v>
      </c>
      <c r="R194" s="76"/>
      <c r="S194" s="76">
        <f t="shared" si="8"/>
        <v>59673987</v>
      </c>
      <c r="T194" s="70"/>
      <c r="U194" s="111"/>
    </row>
    <row r="195" spans="2:21 16383:16383">
      <c r="B195" s="53" t="s">
        <v>280</v>
      </c>
      <c r="C195" s="74" t="s">
        <v>261</v>
      </c>
      <c r="D195" s="75"/>
      <c r="E195" s="76">
        <v>1650</v>
      </c>
      <c r="F195" s="75"/>
      <c r="G195" s="76">
        <v>26774252</v>
      </c>
      <c r="H195" s="53"/>
      <c r="I195" s="76">
        <v>-31924144</v>
      </c>
      <c r="J195" s="75"/>
      <c r="K195" s="76">
        <f t="shared" si="7"/>
        <v>-5149892</v>
      </c>
      <c r="L195" s="76"/>
      <c r="M195" s="53">
        <v>23666</v>
      </c>
      <c r="N195" s="76"/>
      <c r="O195" s="76">
        <v>378606828</v>
      </c>
      <c r="P195" s="75"/>
      <c r="Q195" s="76">
        <v>-457886043</v>
      </c>
      <c r="R195" s="76"/>
      <c r="S195" s="76">
        <f t="shared" si="8"/>
        <v>-79279215</v>
      </c>
      <c r="T195" s="70"/>
      <c r="U195" s="111"/>
    </row>
    <row r="196" spans="2:21 16383:16383">
      <c r="B196" s="53" t="s">
        <v>279</v>
      </c>
      <c r="C196" s="74" t="s">
        <v>274</v>
      </c>
      <c r="D196" s="75"/>
      <c r="E196" s="76">
        <v>57792</v>
      </c>
      <c r="F196" s="75"/>
      <c r="G196" s="76">
        <v>283254258</v>
      </c>
      <c r="H196" s="53"/>
      <c r="I196" s="76">
        <f>-(267386961+8421552)</f>
        <v>-275808513</v>
      </c>
      <c r="J196" s="75"/>
      <c r="K196" s="76">
        <f t="shared" si="7"/>
        <v>7445745</v>
      </c>
      <c r="L196" s="76"/>
      <c r="M196" s="53">
        <v>94102</v>
      </c>
      <c r="N196" s="76"/>
      <c r="O196" s="76">
        <v>447108217</v>
      </c>
      <c r="P196" s="75"/>
      <c r="Q196" s="76">
        <v>-435356155</v>
      </c>
      <c r="R196" s="76"/>
      <c r="S196" s="76">
        <f t="shared" si="8"/>
        <v>11752062</v>
      </c>
      <c r="T196" s="70"/>
      <c r="U196" s="111"/>
    </row>
    <row r="197" spans="2:21 16383:16383">
      <c r="B197" s="53" t="s">
        <v>278</v>
      </c>
      <c r="C197" s="74" t="s">
        <v>118</v>
      </c>
      <c r="D197" s="75"/>
      <c r="E197" s="76">
        <v>12821</v>
      </c>
      <c r="F197" s="75"/>
      <c r="G197" s="76">
        <v>96482973</v>
      </c>
      <c r="H197" s="53"/>
      <c r="I197" s="76">
        <v>-106856745</v>
      </c>
      <c r="J197" s="75"/>
      <c r="K197" s="76">
        <f>I197+G197</f>
        <v>-10373772</v>
      </c>
      <c r="L197" s="76"/>
      <c r="M197" s="53">
        <v>281303</v>
      </c>
      <c r="N197" s="76"/>
      <c r="O197" s="76">
        <v>2092259840</v>
      </c>
      <c r="P197" s="75"/>
      <c r="Q197" s="76">
        <v>-2347597017</v>
      </c>
      <c r="R197" s="76"/>
      <c r="S197" s="76">
        <f>O197+Q197</f>
        <v>-255337177</v>
      </c>
      <c r="T197" s="70"/>
      <c r="U197" s="111"/>
    </row>
    <row r="198" spans="2:21 16383:16383">
      <c r="C198" s="74" t="s">
        <v>448</v>
      </c>
      <c r="D198" s="75"/>
      <c r="E198" s="76"/>
      <c r="F198" s="75"/>
      <c r="G198" s="76"/>
      <c r="H198" s="53"/>
      <c r="I198" s="76"/>
      <c r="J198" s="75"/>
      <c r="K198" s="76">
        <f t="shared" si="7"/>
        <v>0</v>
      </c>
      <c r="L198" s="76"/>
      <c r="M198" s="53">
        <v>1200</v>
      </c>
      <c r="N198" s="76"/>
      <c r="O198" s="76">
        <v>815072242</v>
      </c>
      <c r="P198" s="75"/>
      <c r="Q198" s="76">
        <v>-813843449</v>
      </c>
      <c r="R198" s="76"/>
      <c r="S198" s="76">
        <f t="shared" si="8"/>
        <v>1228793</v>
      </c>
      <c r="T198" s="70"/>
      <c r="U198" s="111"/>
    </row>
    <row r="199" spans="2:21 16383:16383" ht="25.2" thickBot="1">
      <c r="C199" s="74" t="s">
        <v>2</v>
      </c>
      <c r="D199" s="75"/>
      <c r="E199" s="82"/>
      <c r="F199" s="75"/>
      <c r="G199" s="152">
        <f>SUM(G8:G198)</f>
        <v>65243895263</v>
      </c>
      <c r="H199" s="53"/>
      <c r="I199" s="152">
        <f>SUM(I8:I198)</f>
        <v>-56021245967</v>
      </c>
      <c r="J199" s="75"/>
      <c r="K199" s="152">
        <f>SUM(K8:K198)</f>
        <v>9222649296</v>
      </c>
      <c r="L199" s="76"/>
      <c r="M199" s="53"/>
      <c r="N199" s="76"/>
      <c r="O199" s="152">
        <f>SUM(O8:O198)</f>
        <v>637633803225</v>
      </c>
      <c r="P199" s="75"/>
      <c r="Q199" s="152">
        <f>SUM(Q8:Q198)</f>
        <v>-624462230159</v>
      </c>
      <c r="R199" s="76"/>
      <c r="S199" s="152">
        <f>SUM(S8:S198)</f>
        <v>13171573066</v>
      </c>
      <c r="T199" s="70"/>
      <c r="U199" s="111"/>
      <c r="XFC199" s="70">
        <f>SUM(E199:XFB199)</f>
        <v>44788444724</v>
      </c>
    </row>
    <row r="200" spans="2:21 16383:16383" s="82" customFormat="1" ht="24.75" customHeight="1" thickTop="1">
      <c r="C200" s="68"/>
      <c r="D200" s="68"/>
      <c r="E200" s="68"/>
      <c r="F200" s="68"/>
      <c r="G200" s="77"/>
      <c r="H200" s="68"/>
      <c r="I200" s="77"/>
      <c r="J200" s="68"/>
      <c r="K200" s="77"/>
      <c r="L200" s="68"/>
      <c r="M200" s="68"/>
      <c r="N200" s="68"/>
      <c r="O200" s="77"/>
      <c r="P200" s="68"/>
      <c r="Q200" s="77"/>
      <c r="R200" s="68"/>
      <c r="S200" s="77"/>
    </row>
    <row r="201" spans="2:21 16383:16383" s="82" customFormat="1" ht="24.6">
      <c r="B201" s="53"/>
      <c r="C201" s="4"/>
      <c r="D201" s="4"/>
      <c r="E201" s="4"/>
      <c r="F201" s="4"/>
      <c r="G201" s="55"/>
      <c r="H201" s="55"/>
      <c r="I201" s="55"/>
      <c r="J201" s="55"/>
      <c r="K201" s="2"/>
      <c r="L201" s="2"/>
      <c r="M201" s="2"/>
      <c r="N201" s="2"/>
      <c r="O201" s="2"/>
      <c r="P201" s="2"/>
      <c r="Q201" s="2"/>
      <c r="R201" s="2"/>
      <c r="S201" s="2"/>
    </row>
    <row r="202" spans="2:21 16383:16383" s="82" customFormat="1" ht="24.6">
      <c r="B202" s="53"/>
      <c r="C202" s="314" t="s">
        <v>42</v>
      </c>
      <c r="D202" s="315"/>
      <c r="E202" s="315"/>
      <c r="F202" s="315"/>
      <c r="G202" s="315"/>
      <c r="H202" s="315"/>
      <c r="I202" s="315"/>
      <c r="J202" s="315"/>
      <c r="K202" s="315"/>
      <c r="L202" s="315"/>
      <c r="M202" s="315"/>
      <c r="N202" s="315"/>
      <c r="O202" s="315"/>
      <c r="P202" s="315"/>
      <c r="Q202" s="315"/>
      <c r="R202" s="315"/>
      <c r="S202" s="316"/>
    </row>
    <row r="203" spans="2:21 16383:16383" s="82" customFormat="1" ht="24.6">
      <c r="B203" s="53"/>
      <c r="C203" s="78"/>
      <c r="D203" s="78"/>
      <c r="E203" s="78"/>
      <c r="F203" s="78"/>
      <c r="G203" s="78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8"/>
      <c r="S203" s="78"/>
    </row>
    <row r="204" spans="2:21 16383:16383" s="82" customFormat="1" ht="24.6" hidden="1">
      <c r="B204" s="53">
        <v>1</v>
      </c>
      <c r="C204" s="143">
        <v>2</v>
      </c>
      <c r="D204" s="53">
        <v>3</v>
      </c>
      <c r="E204" s="143">
        <v>4</v>
      </c>
      <c r="F204" s="53">
        <v>5</v>
      </c>
      <c r="G204" s="143">
        <v>6</v>
      </c>
      <c r="H204" s="53">
        <v>7</v>
      </c>
      <c r="I204" s="143">
        <v>8</v>
      </c>
      <c r="J204" s="53">
        <v>9</v>
      </c>
      <c r="K204" s="143">
        <v>10</v>
      </c>
      <c r="L204" s="53">
        <v>11</v>
      </c>
      <c r="M204" s="143">
        <v>12</v>
      </c>
      <c r="N204" s="53">
        <v>13</v>
      </c>
      <c r="O204" s="143">
        <v>14</v>
      </c>
      <c r="P204" s="53">
        <v>15</v>
      </c>
      <c r="Q204" s="143">
        <v>16</v>
      </c>
      <c r="R204" s="53">
        <v>17</v>
      </c>
      <c r="S204" s="143">
        <v>18</v>
      </c>
    </row>
    <row r="205" spans="2:21 16383:16383" s="82" customFormat="1" ht="24.6" hidden="1">
      <c r="B205" s="53"/>
      <c r="C205" s="68"/>
      <c r="D205" s="68"/>
      <c r="E205" s="68"/>
      <c r="F205" s="68"/>
      <c r="G205" s="80"/>
      <c r="H205" s="80"/>
      <c r="I205" s="171"/>
      <c r="J205" s="80"/>
      <c r="K205" s="53">
        <v>9584259220</v>
      </c>
      <c r="L205" s="81"/>
      <c r="M205" s="81"/>
      <c r="N205" s="81"/>
      <c r="O205" s="81"/>
      <c r="P205" s="81"/>
      <c r="Q205" s="168"/>
      <c r="R205" s="81"/>
      <c r="S205" s="53">
        <v>16983364675</v>
      </c>
    </row>
    <row r="206" spans="2:21 16383:16383" s="82" customFormat="1" ht="24.6" hidden="1">
      <c r="B206" s="53"/>
      <c r="G206" s="82">
        <v>0</v>
      </c>
      <c r="K206" s="82">
        <v>62341606</v>
      </c>
      <c r="S206" s="82">
        <v>608504021</v>
      </c>
    </row>
    <row r="207" spans="2:21 16383:16383" s="82" customFormat="1" ht="24.6" hidden="1">
      <c r="B207" s="53"/>
      <c r="G207" s="82">
        <f>K205-G206</f>
        <v>9584259220</v>
      </c>
      <c r="I207" s="82" t="s">
        <v>709</v>
      </c>
      <c r="K207" s="82">
        <v>328170638</v>
      </c>
      <c r="S207" s="82">
        <v>3203139830</v>
      </c>
    </row>
    <row r="208" spans="2:21 16383:16383" ht="25.2" hidden="1">
      <c r="C208" s="82"/>
      <c r="D208" s="82"/>
      <c r="E208" s="82"/>
      <c r="F208" s="82"/>
      <c r="G208" s="82"/>
      <c r="H208" s="82"/>
      <c r="I208" s="82" t="s">
        <v>710</v>
      </c>
      <c r="J208" s="82"/>
      <c r="K208" s="82">
        <f>+K205-K206-K207</f>
        <v>9193746976</v>
      </c>
      <c r="L208" s="82"/>
      <c r="M208" s="129"/>
      <c r="N208" s="82"/>
      <c r="O208" s="129"/>
      <c r="P208" s="82"/>
      <c r="Q208" s="129"/>
      <c r="R208" s="82"/>
      <c r="S208" s="82">
        <v>147758</v>
      </c>
    </row>
    <row r="209" spans="3:19" ht="24.6" hidden="1">
      <c r="C209" s="82"/>
      <c r="D209" s="82"/>
      <c r="E209" s="82"/>
      <c r="F209" s="82"/>
      <c r="G209" s="82"/>
      <c r="H209" s="82"/>
      <c r="I209" s="82">
        <v>352564609</v>
      </c>
      <c r="J209" s="82"/>
      <c r="K209" s="82">
        <v>0</v>
      </c>
      <c r="L209" s="82"/>
      <c r="M209" s="82"/>
      <c r="N209" s="82"/>
      <c r="O209" s="82"/>
      <c r="P209" s="82"/>
      <c r="Q209" s="82"/>
      <c r="R209" s="82"/>
      <c r="S209" s="82">
        <f>S205-S206-S207-S208</f>
        <v>13171573066</v>
      </c>
    </row>
    <row r="210" spans="3:19" ht="25.2" hidden="1">
      <c r="C210" s="82"/>
      <c r="D210" s="82"/>
      <c r="E210" s="82"/>
      <c r="F210" s="82"/>
      <c r="G210" s="82"/>
      <c r="H210" s="82"/>
      <c r="I210" s="82"/>
      <c r="J210" s="82"/>
      <c r="K210" s="83">
        <v>0</v>
      </c>
      <c r="L210" s="82"/>
      <c r="M210" s="82"/>
      <c r="N210" s="82"/>
      <c r="O210" s="82"/>
      <c r="P210" s="82"/>
      <c r="Q210" s="82"/>
      <c r="R210" s="82"/>
      <c r="S210" s="82"/>
    </row>
    <row r="211" spans="3:19" ht="25.2" hidden="1">
      <c r="C211" s="82"/>
      <c r="D211" s="82"/>
      <c r="E211" s="82"/>
      <c r="F211" s="82"/>
      <c r="G211" s="82"/>
      <c r="H211" s="82"/>
      <c r="I211" s="82"/>
      <c r="J211" s="82"/>
      <c r="K211" s="83">
        <f>K210-K209</f>
        <v>0</v>
      </c>
      <c r="L211" s="82"/>
      <c r="M211" s="82"/>
      <c r="N211" s="82"/>
      <c r="O211" s="82"/>
      <c r="P211" s="82"/>
      <c r="Q211" s="82"/>
      <c r="R211" s="82"/>
      <c r="S211" s="83"/>
    </row>
    <row r="212" spans="3:19" ht="25.2" hidden="1">
      <c r="C212" s="82"/>
      <c r="D212" s="82"/>
      <c r="E212" s="82"/>
      <c r="F212" s="82"/>
      <c r="G212" s="82"/>
      <c r="H212" s="82"/>
      <c r="I212" s="82"/>
      <c r="J212" s="82"/>
      <c r="K212" s="83"/>
      <c r="L212" s="82"/>
      <c r="M212" s="82"/>
      <c r="N212" s="82"/>
      <c r="O212" s="82"/>
      <c r="P212" s="82"/>
      <c r="Q212" s="82"/>
      <c r="R212" s="82"/>
      <c r="S212" s="83"/>
    </row>
    <row r="213" spans="3:19" ht="24.6" hidden="1">
      <c r="C213" s="82"/>
      <c r="D213" s="82"/>
      <c r="E213" s="82"/>
      <c r="F213" s="82"/>
      <c r="G213" s="82"/>
      <c r="H213" s="82"/>
      <c r="I213" s="82"/>
      <c r="J213" s="82"/>
      <c r="K213" s="156">
        <v>9584259220</v>
      </c>
      <c r="L213" s="156"/>
      <c r="M213" s="156"/>
      <c r="N213" s="156"/>
      <c r="O213" s="156"/>
      <c r="P213" s="156"/>
      <c r="Q213" s="156"/>
      <c r="R213" s="156"/>
      <c r="S213" s="156">
        <v>16983364675</v>
      </c>
    </row>
    <row r="214" spans="3:19" ht="24.6" hidden="1">
      <c r="C214" s="82"/>
      <c r="D214" s="82"/>
      <c r="E214" s="82"/>
      <c r="F214" s="82"/>
      <c r="G214" s="82"/>
      <c r="H214" s="82"/>
      <c r="I214" s="82"/>
      <c r="J214" s="82"/>
      <c r="K214" s="156">
        <v>-62341606</v>
      </c>
      <c r="L214" s="156"/>
      <c r="M214" s="156"/>
      <c r="N214" s="156"/>
      <c r="O214" s="156"/>
      <c r="P214" s="156"/>
      <c r="Q214" s="156"/>
      <c r="R214" s="156"/>
      <c r="S214" s="156">
        <v>-147758</v>
      </c>
    </row>
    <row r="215" spans="3:19" ht="24.6" hidden="1">
      <c r="C215" s="82"/>
      <c r="D215" s="82"/>
      <c r="E215" s="82"/>
      <c r="F215" s="82"/>
      <c r="G215" s="82"/>
      <c r="H215" s="82"/>
      <c r="I215" s="82"/>
      <c r="J215" s="82"/>
      <c r="K215" s="156">
        <v>-328170638</v>
      </c>
      <c r="L215" s="156"/>
      <c r="M215" s="156"/>
      <c r="N215" s="156"/>
      <c r="O215" s="156"/>
      <c r="P215" s="156"/>
      <c r="Q215" s="156"/>
      <c r="R215" s="156"/>
      <c r="S215" s="156">
        <v>-608504021</v>
      </c>
    </row>
    <row r="216" spans="3:19" ht="24.6" hidden="1">
      <c r="C216" s="82"/>
      <c r="D216" s="82"/>
      <c r="E216" s="82"/>
      <c r="F216" s="82"/>
      <c r="G216" s="82"/>
      <c r="H216" s="82"/>
      <c r="I216" s="82"/>
      <c r="J216" s="82"/>
      <c r="K216" s="156">
        <v>0</v>
      </c>
      <c r="L216" s="156"/>
      <c r="M216" s="156"/>
      <c r="N216" s="156"/>
      <c r="O216" s="156"/>
      <c r="P216" s="156"/>
      <c r="Q216" s="156"/>
      <c r="R216" s="156"/>
      <c r="S216" s="156">
        <v>-3203139830</v>
      </c>
    </row>
    <row r="217" spans="3:19" ht="24.6" hidden="1">
      <c r="K217" s="82">
        <f>SUM(K213:K216)</f>
        <v>9193746976</v>
      </c>
      <c r="O217" s="82"/>
      <c r="S217" s="82">
        <f>SUM(S213:S216)</f>
        <v>13171573066</v>
      </c>
    </row>
    <row r="218" spans="3:19" ht="24.6" hidden="1">
      <c r="G218" s="80">
        <v>8421552</v>
      </c>
      <c r="K218" s="82">
        <f>K217-K199</f>
        <v>-28902320</v>
      </c>
      <c r="O218" s="82"/>
      <c r="S218" s="82">
        <f>S217-S199</f>
        <v>0</v>
      </c>
    </row>
    <row r="219" spans="3:19" hidden="1">
      <c r="G219" s="80">
        <v>138375640</v>
      </c>
    </row>
    <row r="220" spans="3:19" hidden="1">
      <c r="G220" s="80">
        <v>-176127828</v>
      </c>
    </row>
    <row r="221" spans="3:19" hidden="1">
      <c r="G221" s="80">
        <v>428316</v>
      </c>
    </row>
    <row r="222" spans="3:19" hidden="1"/>
    <row r="223" spans="3:19" hidden="1"/>
    <row r="224" spans="3:19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</sheetData>
  <autoFilter ref="C7:S7" xr:uid="{00000000-0009-0000-0000-000007000000}">
    <sortState xmlns:xlrd2="http://schemas.microsoft.com/office/spreadsheetml/2017/richdata2" ref="C8:S199">
      <sortCondition ref="C7"/>
    </sortState>
  </autoFilter>
  <mergeCells count="6">
    <mergeCell ref="C202:S202"/>
    <mergeCell ref="M6:S6"/>
    <mergeCell ref="E6:K6"/>
    <mergeCell ref="C1:S1"/>
    <mergeCell ref="C2:S2"/>
    <mergeCell ref="C3:S3"/>
  </mergeCells>
  <printOptions horizontalCentered="1"/>
  <pageMargins left="0.25" right="0.25" top="0.75" bottom="0.75" header="0.3" footer="0.3"/>
  <pageSetup paperSize="9" scale="79" fitToHeight="0" orientation="landscape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X206"/>
  <sheetViews>
    <sheetView rightToLeft="1" view="pageBreakPreview" zoomScale="50" zoomScaleNormal="100" zoomScaleSheetLayoutView="50" workbookViewId="0">
      <selection activeCell="I210" sqref="I210"/>
    </sheetView>
  </sheetViews>
  <sheetFormatPr defaultColWidth="9.109375" defaultRowHeight="21"/>
  <cols>
    <col min="1" max="1" width="1.5546875" style="68" customWidth="1"/>
    <col min="2" max="2" width="10.6640625" style="53" hidden="1" customWidth="1"/>
    <col min="3" max="3" width="31.109375" style="68" bestFit="1" customWidth="1"/>
    <col min="4" max="4" width="0.5546875" style="68" customWidth="1"/>
    <col min="5" max="5" width="12.44140625" style="2" bestFit="1" customWidth="1"/>
    <col min="6" max="6" width="0.88671875" style="2" customWidth="1"/>
    <col min="7" max="7" width="24" style="2" bestFit="1" customWidth="1"/>
    <col min="8" max="8" width="0.88671875" style="2" customWidth="1"/>
    <col min="9" max="9" width="24.6640625" style="2" bestFit="1" customWidth="1"/>
    <col min="10" max="10" width="0.6640625" style="2" customWidth="1"/>
    <col min="11" max="11" width="22" style="2" bestFit="1" customWidth="1"/>
    <col min="12" max="12" width="1.44140625" style="2" customWidth="1"/>
    <col min="13" max="13" width="12.44140625" style="2" bestFit="1" customWidth="1"/>
    <col min="14" max="14" width="1.109375" style="2" customWidth="1"/>
    <col min="15" max="15" width="24" style="2" bestFit="1" customWidth="1"/>
    <col min="16" max="16" width="1" style="2" customWidth="1"/>
    <col min="17" max="17" width="24.6640625" style="2" bestFit="1" customWidth="1"/>
    <col min="18" max="18" width="1.109375" style="2" customWidth="1"/>
    <col min="19" max="19" width="22.6640625" style="2" bestFit="1" customWidth="1"/>
    <col min="20" max="20" width="6.44140625" style="80" bestFit="1" customWidth="1"/>
    <col min="21" max="21" width="16.5546875" style="80" hidden="1" customWidth="1"/>
    <col min="22" max="22" width="6.109375" style="80" hidden="1" customWidth="1"/>
    <col min="23" max="23" width="16.5546875" style="68" hidden="1" customWidth="1"/>
    <col min="24" max="24" width="7" style="68" hidden="1" customWidth="1"/>
    <col min="25" max="16384" width="9.109375" style="68"/>
  </cols>
  <sheetData>
    <row r="1" spans="2:24" ht="21.6">
      <c r="C1" s="311" t="s">
        <v>84</v>
      </c>
      <c r="D1" s="311"/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</row>
    <row r="2" spans="2:24" ht="21.6">
      <c r="C2" s="311" t="s">
        <v>53</v>
      </c>
      <c r="D2" s="311"/>
      <c r="E2" s="311"/>
      <c r="F2" s="311"/>
      <c r="G2" s="311"/>
      <c r="H2" s="311"/>
      <c r="I2" s="311"/>
      <c r="J2" s="311"/>
      <c r="K2" s="311"/>
      <c r="L2" s="311"/>
      <c r="M2" s="311"/>
      <c r="N2" s="311"/>
      <c r="O2" s="311"/>
      <c r="P2" s="311"/>
      <c r="Q2" s="311"/>
      <c r="R2" s="311"/>
      <c r="S2" s="311"/>
    </row>
    <row r="3" spans="2:24" ht="21.6">
      <c r="C3" s="311" t="str">
        <f>' سهام'!A3</f>
        <v>برای ماه منتهی به 1401/10/30</v>
      </c>
      <c r="D3" s="311"/>
      <c r="E3" s="311"/>
      <c r="F3" s="311"/>
      <c r="G3" s="311"/>
      <c r="H3" s="311"/>
      <c r="I3" s="311"/>
      <c r="J3" s="311"/>
      <c r="K3" s="311"/>
      <c r="L3" s="311"/>
      <c r="M3" s="311"/>
      <c r="N3" s="311"/>
      <c r="O3" s="311"/>
      <c r="P3" s="311"/>
      <c r="Q3" s="311"/>
      <c r="R3" s="311"/>
      <c r="S3" s="311"/>
    </row>
    <row r="4" spans="2:24">
      <c r="C4" s="299" t="s">
        <v>86</v>
      </c>
      <c r="D4" s="299"/>
      <c r="E4" s="299"/>
      <c r="F4" s="299"/>
      <c r="G4" s="299"/>
      <c r="H4" s="299"/>
      <c r="I4" s="299"/>
      <c r="J4" s="299"/>
    </row>
    <row r="5" spans="2:24" ht="22.2" thickBot="1">
      <c r="C5" s="5"/>
      <c r="D5" s="5"/>
      <c r="E5" s="322" t="s">
        <v>537</v>
      </c>
      <c r="F5" s="322"/>
      <c r="G5" s="322"/>
      <c r="H5" s="322"/>
      <c r="I5" s="322"/>
      <c r="J5" s="322"/>
      <c r="K5" s="322"/>
      <c r="M5" s="317" t="s">
        <v>536</v>
      </c>
      <c r="N5" s="317"/>
      <c r="O5" s="317"/>
      <c r="P5" s="317"/>
      <c r="Q5" s="317"/>
      <c r="R5" s="317"/>
      <c r="S5" s="317"/>
    </row>
    <row r="6" spans="2:24" ht="42.6" thickBot="1">
      <c r="C6" s="84" t="s">
        <v>37</v>
      </c>
      <c r="D6" s="84"/>
      <c r="E6" s="110" t="s">
        <v>3</v>
      </c>
      <c r="F6" s="73"/>
      <c r="G6" s="109" t="s">
        <v>21</v>
      </c>
      <c r="H6" s="73"/>
      <c r="I6" s="110" t="s">
        <v>41</v>
      </c>
      <c r="J6" s="73"/>
      <c r="K6" s="109" t="s">
        <v>471</v>
      </c>
      <c r="M6" s="110" t="s">
        <v>3</v>
      </c>
      <c r="N6" s="73"/>
      <c r="O6" s="109" t="s">
        <v>21</v>
      </c>
      <c r="P6" s="73"/>
      <c r="Q6" s="110" t="s">
        <v>41</v>
      </c>
      <c r="R6" s="73"/>
      <c r="S6" s="109" t="s">
        <v>471</v>
      </c>
    </row>
    <row r="7" spans="2:24">
      <c r="B7" t="s">
        <v>278</v>
      </c>
      <c r="C7" s="85" t="s">
        <v>118</v>
      </c>
      <c r="E7" s="53">
        <v>2768319</v>
      </c>
      <c r="F7" s="53"/>
      <c r="G7" s="53">
        <v>23858517847</v>
      </c>
      <c r="H7" s="53"/>
      <c r="I7" s="53">
        <v>-21906198638</v>
      </c>
      <c r="J7" s="53"/>
      <c r="K7" s="53">
        <f>G7+I7</f>
        <v>1952319209</v>
      </c>
      <c r="L7" s="53"/>
      <c r="M7" s="53">
        <v>2768319</v>
      </c>
      <c r="N7" s="53"/>
      <c r="O7" s="53">
        <v>23858517847</v>
      </c>
      <c r="P7" s="53"/>
      <c r="Q7" s="53">
        <v>-22789888462</v>
      </c>
      <c r="R7" s="53"/>
      <c r="S7" s="53">
        <f>O7+Q7</f>
        <v>1068629385</v>
      </c>
      <c r="U7" s="53">
        <v>1952319209</v>
      </c>
      <c r="V7" s="80">
        <f>U7-K7</f>
        <v>0</v>
      </c>
      <c r="W7" s="53">
        <v>1068629385</v>
      </c>
      <c r="X7" s="70">
        <f>S7-W7</f>
        <v>0</v>
      </c>
    </row>
    <row r="8" spans="2:24">
      <c r="B8" t="s">
        <v>280</v>
      </c>
      <c r="C8" s="85" t="s">
        <v>261</v>
      </c>
      <c r="E8" s="53">
        <v>79417</v>
      </c>
      <c r="F8" s="53"/>
      <c r="G8" s="53">
        <v>1336529862</v>
      </c>
      <c r="H8" s="53"/>
      <c r="I8" s="53">
        <v>-1294499221</v>
      </c>
      <c r="J8" s="53"/>
      <c r="K8" s="53">
        <f t="shared" ref="K8:K69" si="0">G8+I8</f>
        <v>42030641</v>
      </c>
      <c r="L8" s="53"/>
      <c r="M8" s="53">
        <v>79417</v>
      </c>
      <c r="N8" s="53"/>
      <c r="O8" s="53">
        <v>1336529862</v>
      </c>
      <c r="P8" s="53"/>
      <c r="Q8" s="53">
        <v>-1536557465</v>
      </c>
      <c r="R8" s="53"/>
      <c r="S8" s="53">
        <f t="shared" ref="S8:S69" si="1">O8+Q8</f>
        <v>-200027603</v>
      </c>
      <c r="U8" s="53">
        <v>42030641</v>
      </c>
      <c r="V8" s="80">
        <f t="shared" ref="V8:V69" si="2">U8-K8</f>
        <v>0</v>
      </c>
      <c r="W8" s="53">
        <v>-200027603</v>
      </c>
      <c r="X8" s="70">
        <f t="shared" ref="X8:X69" si="3">S8-W8</f>
        <v>0</v>
      </c>
    </row>
    <row r="9" spans="2:24">
      <c r="B9" t="s">
        <v>497</v>
      </c>
      <c r="C9" s="85" t="s">
        <v>478</v>
      </c>
      <c r="E9" s="53">
        <v>673470</v>
      </c>
      <c r="F9" s="53"/>
      <c r="G9" s="53">
        <v>7993386475</v>
      </c>
      <c r="H9" s="53"/>
      <c r="I9" s="53">
        <v>-7421108661</v>
      </c>
      <c r="J9" s="53"/>
      <c r="K9" s="53">
        <f t="shared" si="0"/>
        <v>572277814</v>
      </c>
      <c r="L9" s="53"/>
      <c r="M9" s="53">
        <v>673470</v>
      </c>
      <c r="N9" s="53"/>
      <c r="O9" s="53">
        <v>7993386475</v>
      </c>
      <c r="P9" s="53"/>
      <c r="Q9" s="53">
        <v>-6749473467</v>
      </c>
      <c r="R9" s="53"/>
      <c r="S9" s="53">
        <f t="shared" si="1"/>
        <v>1243913008</v>
      </c>
      <c r="U9" s="53">
        <v>572277814</v>
      </c>
      <c r="V9" s="80">
        <f t="shared" si="2"/>
        <v>0</v>
      </c>
      <c r="W9" s="53">
        <v>1243913008</v>
      </c>
      <c r="X9" s="70">
        <f t="shared" si="3"/>
        <v>0</v>
      </c>
    </row>
    <row r="10" spans="2:24">
      <c r="B10" t="s">
        <v>281</v>
      </c>
      <c r="C10" s="85" t="s">
        <v>191</v>
      </c>
      <c r="E10" s="53">
        <v>8940740</v>
      </c>
      <c r="F10" s="53"/>
      <c r="G10" s="53">
        <v>20450235519</v>
      </c>
      <c r="H10" s="53"/>
      <c r="I10" s="53">
        <v>-18676102756</v>
      </c>
      <c r="J10" s="53"/>
      <c r="K10" s="53">
        <f t="shared" si="0"/>
        <v>1774132763</v>
      </c>
      <c r="L10" s="53"/>
      <c r="M10" s="53">
        <v>8940740</v>
      </c>
      <c r="N10" s="53"/>
      <c r="O10" s="53">
        <v>20450235519</v>
      </c>
      <c r="P10" s="53"/>
      <c r="Q10" s="53">
        <v>-18817373955</v>
      </c>
      <c r="R10" s="53"/>
      <c r="S10" s="53">
        <f t="shared" si="1"/>
        <v>1632861564</v>
      </c>
      <c r="U10" s="53">
        <v>1774132763</v>
      </c>
      <c r="V10" s="80">
        <f t="shared" si="2"/>
        <v>0</v>
      </c>
      <c r="W10" s="53">
        <v>1632861564</v>
      </c>
      <c r="X10" s="70">
        <f t="shared" si="3"/>
        <v>0</v>
      </c>
    </row>
    <row r="11" spans="2:24">
      <c r="B11" t="s">
        <v>711</v>
      </c>
      <c r="C11" s="85" t="s">
        <v>515</v>
      </c>
      <c r="E11" s="53">
        <v>223326</v>
      </c>
      <c r="F11" s="53"/>
      <c r="G11" s="53">
        <v>2393129930</v>
      </c>
      <c r="H11" s="53"/>
      <c r="I11" s="53">
        <v>-1735083461</v>
      </c>
      <c r="J11" s="53"/>
      <c r="K11" s="53">
        <f t="shared" si="0"/>
        <v>658046469</v>
      </c>
      <c r="L11" s="53"/>
      <c r="M11" s="53">
        <v>223326</v>
      </c>
      <c r="N11" s="53"/>
      <c r="O11" s="53">
        <v>2393129930</v>
      </c>
      <c r="P11" s="53"/>
      <c r="Q11" s="53">
        <v>-1676143507</v>
      </c>
      <c r="R11" s="53"/>
      <c r="S11" s="53">
        <f t="shared" si="1"/>
        <v>716986423</v>
      </c>
      <c r="U11" s="53">
        <v>658046469</v>
      </c>
      <c r="V11" s="80">
        <f t="shared" si="2"/>
        <v>0</v>
      </c>
      <c r="W11" s="53">
        <v>716986423</v>
      </c>
      <c r="X11" s="70">
        <f t="shared" si="3"/>
        <v>0</v>
      </c>
    </row>
    <row r="12" spans="2:24">
      <c r="B12" t="s">
        <v>282</v>
      </c>
      <c r="C12" s="85" t="s">
        <v>109</v>
      </c>
      <c r="E12" s="53">
        <v>8021358</v>
      </c>
      <c r="F12" s="53"/>
      <c r="G12" s="53">
        <v>24558783237</v>
      </c>
      <c r="H12" s="53"/>
      <c r="I12" s="53">
        <v>-22133775917</v>
      </c>
      <c r="J12" s="53"/>
      <c r="K12" s="53">
        <f t="shared" si="0"/>
        <v>2425007320</v>
      </c>
      <c r="L12" s="53"/>
      <c r="M12" s="53">
        <v>8021358</v>
      </c>
      <c r="N12" s="53"/>
      <c r="O12" s="53">
        <v>24558783237</v>
      </c>
      <c r="P12" s="53"/>
      <c r="Q12" s="53">
        <v>-20929503360</v>
      </c>
      <c r="R12" s="53"/>
      <c r="S12" s="53">
        <f t="shared" si="1"/>
        <v>3629279877</v>
      </c>
      <c r="U12" s="53">
        <v>2425007320</v>
      </c>
      <c r="V12" s="80">
        <f t="shared" si="2"/>
        <v>0</v>
      </c>
      <c r="W12" s="53">
        <v>3629279877</v>
      </c>
      <c r="X12" s="70">
        <f t="shared" si="3"/>
        <v>0</v>
      </c>
    </row>
    <row r="13" spans="2:24">
      <c r="B13" t="s">
        <v>283</v>
      </c>
      <c r="C13" s="85" t="s">
        <v>173</v>
      </c>
      <c r="E13" s="53">
        <v>3093145</v>
      </c>
      <c r="F13" s="53"/>
      <c r="G13" s="53">
        <v>15947655553</v>
      </c>
      <c r="H13" s="53"/>
      <c r="I13" s="53">
        <v>-13378796454</v>
      </c>
      <c r="J13" s="53"/>
      <c r="K13" s="53">
        <f t="shared" si="0"/>
        <v>2568859099</v>
      </c>
      <c r="L13" s="53"/>
      <c r="M13" s="53">
        <v>3093145</v>
      </c>
      <c r="N13" s="53"/>
      <c r="O13" s="53">
        <v>15947655553</v>
      </c>
      <c r="P13" s="53"/>
      <c r="Q13" s="53">
        <v>-14205731617</v>
      </c>
      <c r="R13" s="53"/>
      <c r="S13" s="53">
        <f t="shared" si="1"/>
        <v>1741923936</v>
      </c>
      <c r="U13" s="53">
        <v>2568859099</v>
      </c>
      <c r="V13" s="80">
        <f t="shared" si="2"/>
        <v>0</v>
      </c>
      <c r="W13" s="53">
        <v>1741923936</v>
      </c>
      <c r="X13" s="70">
        <f t="shared" si="3"/>
        <v>0</v>
      </c>
    </row>
    <row r="14" spans="2:24">
      <c r="B14" t="s">
        <v>284</v>
      </c>
      <c r="C14" s="85" t="s">
        <v>168</v>
      </c>
      <c r="E14" s="53">
        <v>5803270</v>
      </c>
      <c r="F14" s="53"/>
      <c r="G14" s="53">
        <v>8480048602</v>
      </c>
      <c r="H14" s="53"/>
      <c r="I14" s="53">
        <v>-5138001885</v>
      </c>
      <c r="J14" s="53"/>
      <c r="K14" s="53">
        <f t="shared" si="0"/>
        <v>3342046717</v>
      </c>
      <c r="L14" s="53"/>
      <c r="M14" s="53">
        <v>5803270</v>
      </c>
      <c r="N14" s="53"/>
      <c r="O14" s="53">
        <v>8480048602</v>
      </c>
      <c r="P14" s="53"/>
      <c r="Q14" s="53">
        <v>-5157745396</v>
      </c>
      <c r="R14" s="53"/>
      <c r="S14" s="53">
        <f t="shared" si="1"/>
        <v>3322303206</v>
      </c>
      <c r="U14" s="53">
        <v>3342046717</v>
      </c>
      <c r="V14" s="80">
        <f t="shared" si="2"/>
        <v>0</v>
      </c>
      <c r="W14" s="53">
        <v>3322303206</v>
      </c>
      <c r="X14" s="70">
        <f t="shared" si="3"/>
        <v>0</v>
      </c>
    </row>
    <row r="15" spans="2:24">
      <c r="B15" t="s">
        <v>285</v>
      </c>
      <c r="C15" s="85" t="s">
        <v>269</v>
      </c>
      <c r="E15" s="53">
        <v>86813</v>
      </c>
      <c r="F15" s="53"/>
      <c r="G15" s="53">
        <v>1101142866</v>
      </c>
      <c r="H15" s="53"/>
      <c r="I15" s="53">
        <v>-850190718</v>
      </c>
      <c r="J15" s="53"/>
      <c r="K15" s="53">
        <f t="shared" si="0"/>
        <v>250952148</v>
      </c>
      <c r="L15" s="53"/>
      <c r="M15" s="53">
        <v>86813</v>
      </c>
      <c r="N15" s="53"/>
      <c r="O15" s="53">
        <v>1101142866</v>
      </c>
      <c r="P15" s="53"/>
      <c r="Q15" s="53">
        <v>-770816727</v>
      </c>
      <c r="R15" s="53"/>
      <c r="S15" s="53">
        <f t="shared" si="1"/>
        <v>330326139</v>
      </c>
      <c r="U15" s="53">
        <v>250952148</v>
      </c>
      <c r="V15" s="80">
        <f t="shared" si="2"/>
        <v>0</v>
      </c>
      <c r="W15" s="53">
        <v>330326139</v>
      </c>
      <c r="X15" s="70">
        <f t="shared" si="3"/>
        <v>0</v>
      </c>
    </row>
    <row r="16" spans="2:24">
      <c r="B16" t="s">
        <v>286</v>
      </c>
      <c r="C16" s="85" t="s">
        <v>212</v>
      </c>
      <c r="E16" s="53">
        <v>1005438</v>
      </c>
      <c r="F16" s="53"/>
      <c r="G16" s="53">
        <v>7485922777</v>
      </c>
      <c r="H16" s="53"/>
      <c r="I16" s="53">
        <v>-7291863731</v>
      </c>
      <c r="J16" s="53"/>
      <c r="K16" s="53">
        <f t="shared" si="0"/>
        <v>194059046</v>
      </c>
      <c r="L16" s="53"/>
      <c r="M16" s="53">
        <v>1005438</v>
      </c>
      <c r="N16" s="53"/>
      <c r="O16" s="53">
        <v>7485922777</v>
      </c>
      <c r="P16" s="53"/>
      <c r="Q16" s="53">
        <v>-7108842398</v>
      </c>
      <c r="R16" s="53"/>
      <c r="S16" s="53">
        <f t="shared" si="1"/>
        <v>377080379</v>
      </c>
      <c r="U16" s="53">
        <v>194059046</v>
      </c>
      <c r="V16" s="80">
        <f t="shared" si="2"/>
        <v>0</v>
      </c>
      <c r="W16" s="53">
        <v>377080379</v>
      </c>
      <c r="X16" s="70">
        <f t="shared" si="3"/>
        <v>0</v>
      </c>
    </row>
    <row r="17" spans="2:24">
      <c r="B17" t="s">
        <v>287</v>
      </c>
      <c r="C17" s="85" t="s">
        <v>99</v>
      </c>
      <c r="E17" s="53">
        <v>5964977</v>
      </c>
      <c r="F17" s="53"/>
      <c r="G17" s="53">
        <v>34983963787</v>
      </c>
      <c r="H17" s="53"/>
      <c r="I17" s="53">
        <v>-29408790888</v>
      </c>
      <c r="J17" s="53"/>
      <c r="K17" s="53">
        <f t="shared" si="0"/>
        <v>5575172899</v>
      </c>
      <c r="L17" s="53"/>
      <c r="M17" s="53">
        <v>5964977</v>
      </c>
      <c r="N17" s="53"/>
      <c r="O17" s="53">
        <v>34983963787</v>
      </c>
      <c r="P17" s="53"/>
      <c r="Q17" s="53">
        <v>-30159119718</v>
      </c>
      <c r="R17" s="53"/>
      <c r="S17" s="53">
        <f t="shared" si="1"/>
        <v>4824844069</v>
      </c>
      <c r="U17" s="53">
        <v>5575172899</v>
      </c>
      <c r="V17" s="80">
        <f t="shared" si="2"/>
        <v>0</v>
      </c>
      <c r="W17" s="53">
        <v>4824844069</v>
      </c>
      <c r="X17" s="70">
        <f t="shared" si="3"/>
        <v>0</v>
      </c>
    </row>
    <row r="18" spans="2:24">
      <c r="B18" t="s">
        <v>288</v>
      </c>
      <c r="C18" s="85" t="s">
        <v>129</v>
      </c>
      <c r="E18" s="53">
        <v>2697504</v>
      </c>
      <c r="F18" s="53"/>
      <c r="G18" s="53">
        <v>23757681125</v>
      </c>
      <c r="H18" s="53"/>
      <c r="I18" s="53">
        <v>-16161901774</v>
      </c>
      <c r="J18" s="53"/>
      <c r="K18" s="53">
        <f t="shared" si="0"/>
        <v>7595779351</v>
      </c>
      <c r="L18" s="53"/>
      <c r="M18" s="53">
        <v>2697504</v>
      </c>
      <c r="N18" s="53"/>
      <c r="O18" s="53">
        <v>23757681125</v>
      </c>
      <c r="P18" s="53"/>
      <c r="Q18" s="53">
        <v>-16076969148</v>
      </c>
      <c r="R18" s="53"/>
      <c r="S18" s="53">
        <f t="shared" si="1"/>
        <v>7680711977</v>
      </c>
      <c r="U18" s="53">
        <v>7595779351</v>
      </c>
      <c r="V18" s="80">
        <f t="shared" si="2"/>
        <v>0</v>
      </c>
      <c r="W18" s="53">
        <v>7680711977</v>
      </c>
      <c r="X18" s="70">
        <f t="shared" si="3"/>
        <v>0</v>
      </c>
    </row>
    <row r="19" spans="2:24">
      <c r="B19" t="s">
        <v>289</v>
      </c>
      <c r="C19" s="85" t="s">
        <v>213</v>
      </c>
      <c r="E19" s="53">
        <v>14234776</v>
      </c>
      <c r="F19" s="53"/>
      <c r="G19" s="53">
        <v>61892445911</v>
      </c>
      <c r="H19" s="53"/>
      <c r="I19" s="53">
        <v>-59213995884</v>
      </c>
      <c r="J19" s="53"/>
      <c r="K19" s="53">
        <f t="shared" si="0"/>
        <v>2678450027</v>
      </c>
      <c r="L19" s="53"/>
      <c r="M19" s="53">
        <v>14234776</v>
      </c>
      <c r="N19" s="53"/>
      <c r="O19" s="53">
        <v>61892445911</v>
      </c>
      <c r="P19" s="53"/>
      <c r="Q19" s="53">
        <v>-56679630050</v>
      </c>
      <c r="R19" s="53"/>
      <c r="S19" s="53">
        <f t="shared" si="1"/>
        <v>5212815861</v>
      </c>
      <c r="U19" s="53">
        <v>2678450027</v>
      </c>
      <c r="V19" s="80">
        <f t="shared" si="2"/>
        <v>0</v>
      </c>
      <c r="W19" s="53">
        <v>5212815861</v>
      </c>
      <c r="X19" s="70">
        <f t="shared" si="3"/>
        <v>0</v>
      </c>
    </row>
    <row r="20" spans="2:24">
      <c r="B20" t="s">
        <v>290</v>
      </c>
      <c r="C20" s="85" t="s">
        <v>110</v>
      </c>
      <c r="E20" s="53">
        <v>3851138</v>
      </c>
      <c r="F20" s="53"/>
      <c r="G20" s="53">
        <v>12250315935</v>
      </c>
      <c r="H20" s="53"/>
      <c r="I20" s="53">
        <v>-8927683299</v>
      </c>
      <c r="J20" s="53"/>
      <c r="K20" s="53">
        <f t="shared" si="0"/>
        <v>3322632636</v>
      </c>
      <c r="L20" s="53"/>
      <c r="M20" s="53">
        <v>3851138</v>
      </c>
      <c r="N20" s="53"/>
      <c r="O20" s="53">
        <v>12250315935</v>
      </c>
      <c r="P20" s="53"/>
      <c r="Q20" s="53">
        <v>-8334057072</v>
      </c>
      <c r="R20" s="53"/>
      <c r="S20" s="53">
        <f t="shared" si="1"/>
        <v>3916258863</v>
      </c>
      <c r="U20" s="53">
        <v>3322632636</v>
      </c>
      <c r="V20" s="80">
        <f t="shared" si="2"/>
        <v>0</v>
      </c>
      <c r="W20" s="53">
        <v>3916258863</v>
      </c>
      <c r="X20" s="70">
        <f t="shared" si="3"/>
        <v>0</v>
      </c>
    </row>
    <row r="21" spans="2:24">
      <c r="B21" t="s">
        <v>291</v>
      </c>
      <c r="C21" s="85" t="s">
        <v>140</v>
      </c>
      <c r="E21" s="53">
        <v>15718234</v>
      </c>
      <c r="F21" s="53"/>
      <c r="G21" s="53">
        <v>55905214199</v>
      </c>
      <c r="H21" s="53"/>
      <c r="I21" s="53">
        <v>-54342033307</v>
      </c>
      <c r="J21" s="53"/>
      <c r="K21" s="53">
        <f t="shared" si="0"/>
        <v>1563180892</v>
      </c>
      <c r="L21" s="53"/>
      <c r="M21" s="53">
        <v>15718234</v>
      </c>
      <c r="N21" s="53"/>
      <c r="O21" s="53">
        <v>55905214199</v>
      </c>
      <c r="P21" s="53"/>
      <c r="Q21" s="53">
        <v>-54436634627</v>
      </c>
      <c r="R21" s="53"/>
      <c r="S21" s="53">
        <f t="shared" si="1"/>
        <v>1468579572</v>
      </c>
      <c r="U21" s="53">
        <v>1563180892</v>
      </c>
      <c r="V21" s="80">
        <f t="shared" si="2"/>
        <v>0</v>
      </c>
      <c r="W21" s="53">
        <v>1468579572</v>
      </c>
      <c r="X21" s="70">
        <f t="shared" si="3"/>
        <v>0</v>
      </c>
    </row>
    <row r="22" spans="2:24">
      <c r="B22" t="s">
        <v>498</v>
      </c>
      <c r="C22" s="85" t="s">
        <v>479</v>
      </c>
      <c r="E22" s="53">
        <v>1802841</v>
      </c>
      <c r="F22" s="53"/>
      <c r="G22" s="53">
        <v>21164867477</v>
      </c>
      <c r="H22" s="53"/>
      <c r="I22" s="53">
        <v>-18934485641</v>
      </c>
      <c r="J22" s="53"/>
      <c r="K22" s="53">
        <f t="shared" si="0"/>
        <v>2230381836</v>
      </c>
      <c r="L22" s="53"/>
      <c r="M22" s="53">
        <v>1802841</v>
      </c>
      <c r="N22" s="53"/>
      <c r="O22" s="53">
        <v>21164867477</v>
      </c>
      <c r="P22" s="53"/>
      <c r="Q22" s="53">
        <v>-18150462987</v>
      </c>
      <c r="R22" s="53"/>
      <c r="S22" s="53">
        <f t="shared" si="1"/>
        <v>3014404490</v>
      </c>
      <c r="U22" s="53">
        <v>2230381836</v>
      </c>
      <c r="V22" s="80">
        <f t="shared" si="2"/>
        <v>0</v>
      </c>
      <c r="W22" s="53">
        <v>3014404490</v>
      </c>
      <c r="X22" s="70">
        <f t="shared" si="3"/>
        <v>0</v>
      </c>
    </row>
    <row r="23" spans="2:24">
      <c r="B23" t="s">
        <v>292</v>
      </c>
      <c r="C23" s="85" t="s">
        <v>222</v>
      </c>
      <c r="E23" s="53">
        <v>1290936</v>
      </c>
      <c r="F23" s="53"/>
      <c r="G23" s="53">
        <v>14761281472</v>
      </c>
      <c r="H23" s="53"/>
      <c r="I23" s="53">
        <v>-15336240997</v>
      </c>
      <c r="J23" s="53"/>
      <c r="K23" s="53">
        <f t="shared" si="0"/>
        <v>-574959525</v>
      </c>
      <c r="L23" s="53"/>
      <c r="M23" s="53">
        <v>1290936</v>
      </c>
      <c r="N23" s="53"/>
      <c r="O23" s="53">
        <v>14761281472</v>
      </c>
      <c r="P23" s="53"/>
      <c r="Q23" s="53">
        <v>-14368284166</v>
      </c>
      <c r="R23" s="53"/>
      <c r="S23" s="53">
        <f t="shared" si="1"/>
        <v>392997306</v>
      </c>
      <c r="U23" s="53">
        <v>-574959525</v>
      </c>
      <c r="V23" s="80">
        <f t="shared" si="2"/>
        <v>0</v>
      </c>
      <c r="W23" s="53">
        <v>392997306</v>
      </c>
      <c r="X23" s="70">
        <f t="shared" si="3"/>
        <v>0</v>
      </c>
    </row>
    <row r="24" spans="2:24">
      <c r="B24" t="s">
        <v>293</v>
      </c>
      <c r="C24" s="85" t="s">
        <v>113</v>
      </c>
      <c r="E24" s="53">
        <v>16390089</v>
      </c>
      <c r="F24" s="53"/>
      <c r="G24" s="53">
        <v>34279563014</v>
      </c>
      <c r="H24" s="53"/>
      <c r="I24" s="53">
        <v>-28868695628</v>
      </c>
      <c r="J24" s="53"/>
      <c r="K24" s="53">
        <f t="shared" si="0"/>
        <v>5410867386</v>
      </c>
      <c r="L24" s="53"/>
      <c r="M24" s="53">
        <v>16390089</v>
      </c>
      <c r="N24" s="53"/>
      <c r="O24" s="53">
        <v>34279563014</v>
      </c>
      <c r="P24" s="53"/>
      <c r="Q24" s="53">
        <v>-24903968230</v>
      </c>
      <c r="R24" s="53"/>
      <c r="S24" s="53">
        <f t="shared" si="1"/>
        <v>9375594784</v>
      </c>
      <c r="U24" s="53">
        <v>5410867386</v>
      </c>
      <c r="V24" s="80">
        <f t="shared" si="2"/>
        <v>0</v>
      </c>
      <c r="W24" s="53">
        <v>9375594784</v>
      </c>
      <c r="X24" s="70">
        <f t="shared" si="3"/>
        <v>0</v>
      </c>
    </row>
    <row r="25" spans="2:24">
      <c r="B25" t="s">
        <v>499</v>
      </c>
      <c r="C25" s="85" t="s">
        <v>480</v>
      </c>
      <c r="E25" s="53">
        <v>2007337</v>
      </c>
      <c r="F25" s="53"/>
      <c r="G25" s="53">
        <v>14187246687</v>
      </c>
      <c r="H25" s="53"/>
      <c r="I25" s="53">
        <v>-12943996276</v>
      </c>
      <c r="J25" s="53"/>
      <c r="K25" s="53">
        <f t="shared" si="0"/>
        <v>1243250411</v>
      </c>
      <c r="L25" s="53"/>
      <c r="M25" s="53">
        <v>2007337</v>
      </c>
      <c r="N25" s="53"/>
      <c r="O25" s="53">
        <v>14187246687</v>
      </c>
      <c r="P25" s="53"/>
      <c r="Q25" s="53">
        <v>-11632767613</v>
      </c>
      <c r="R25" s="53"/>
      <c r="S25" s="53">
        <f t="shared" si="1"/>
        <v>2554479074</v>
      </c>
      <c r="U25" s="53">
        <v>1243250411</v>
      </c>
      <c r="V25" s="80">
        <f t="shared" si="2"/>
        <v>0</v>
      </c>
      <c r="W25" s="53">
        <v>2554479074</v>
      </c>
      <c r="X25" s="70">
        <f t="shared" si="3"/>
        <v>0</v>
      </c>
    </row>
    <row r="26" spans="2:24">
      <c r="B26" t="s">
        <v>500</v>
      </c>
      <c r="C26" s="85" t="s">
        <v>481</v>
      </c>
      <c r="E26" s="53">
        <v>740311</v>
      </c>
      <c r="F26" s="53"/>
      <c r="G26" s="53">
        <v>15785186911</v>
      </c>
      <c r="H26" s="53"/>
      <c r="I26" s="53">
        <v>-14913163095</v>
      </c>
      <c r="J26" s="53"/>
      <c r="K26" s="53">
        <f t="shared" si="0"/>
        <v>872023816</v>
      </c>
      <c r="L26" s="53"/>
      <c r="M26" s="53">
        <v>740311</v>
      </c>
      <c r="N26" s="53"/>
      <c r="O26" s="53">
        <v>15785186911</v>
      </c>
      <c r="P26" s="53"/>
      <c r="Q26" s="53">
        <v>-14404309508</v>
      </c>
      <c r="R26" s="53"/>
      <c r="S26" s="53">
        <f t="shared" si="1"/>
        <v>1380877403</v>
      </c>
      <c r="U26" s="53">
        <v>872023816</v>
      </c>
      <c r="V26" s="80">
        <f t="shared" si="2"/>
        <v>0</v>
      </c>
      <c r="W26" s="53">
        <v>1380877403</v>
      </c>
      <c r="X26" s="70">
        <f t="shared" si="3"/>
        <v>0</v>
      </c>
    </row>
    <row r="27" spans="2:24">
      <c r="B27" t="s">
        <v>294</v>
      </c>
      <c r="C27" s="85" t="s">
        <v>149</v>
      </c>
      <c r="E27" s="53">
        <v>8102132</v>
      </c>
      <c r="F27" s="53"/>
      <c r="G27" s="53">
        <v>17066265626</v>
      </c>
      <c r="H27" s="53"/>
      <c r="I27" s="53">
        <v>-15711872201</v>
      </c>
      <c r="J27" s="53"/>
      <c r="K27" s="53">
        <f t="shared" si="0"/>
        <v>1354393425</v>
      </c>
      <c r="L27" s="53"/>
      <c r="M27" s="53">
        <v>8102132</v>
      </c>
      <c r="N27" s="53"/>
      <c r="O27" s="53">
        <v>17066265626</v>
      </c>
      <c r="P27" s="53"/>
      <c r="Q27" s="53">
        <v>-15591414262</v>
      </c>
      <c r="R27" s="53"/>
      <c r="S27" s="53">
        <f t="shared" si="1"/>
        <v>1474851364</v>
      </c>
      <c r="U27" s="53">
        <v>1354393425</v>
      </c>
      <c r="V27" s="80">
        <f t="shared" si="2"/>
        <v>0</v>
      </c>
      <c r="W27" s="53">
        <v>1474851364</v>
      </c>
      <c r="X27" s="70">
        <f t="shared" si="3"/>
        <v>0</v>
      </c>
    </row>
    <row r="28" spans="2:24">
      <c r="B28" t="s">
        <v>295</v>
      </c>
      <c r="C28" s="85" t="s">
        <v>92</v>
      </c>
      <c r="E28" s="53">
        <v>7602786</v>
      </c>
      <c r="F28" s="53"/>
      <c r="G28" s="53">
        <v>15870853791</v>
      </c>
      <c r="H28" s="53"/>
      <c r="I28" s="53">
        <v>-14277216222</v>
      </c>
      <c r="J28" s="53"/>
      <c r="K28" s="53">
        <f t="shared" si="0"/>
        <v>1593637569</v>
      </c>
      <c r="L28" s="53"/>
      <c r="M28" s="53">
        <v>7602786</v>
      </c>
      <c r="N28" s="53"/>
      <c r="O28" s="53">
        <v>15870853791</v>
      </c>
      <c r="P28" s="53"/>
      <c r="Q28" s="53">
        <v>-14021998858</v>
      </c>
      <c r="R28" s="53"/>
      <c r="S28" s="53">
        <f t="shared" si="1"/>
        <v>1848854933</v>
      </c>
      <c r="U28" s="53">
        <v>1593637569</v>
      </c>
      <c r="V28" s="80">
        <f t="shared" si="2"/>
        <v>0</v>
      </c>
      <c r="W28" s="53">
        <v>1848854933</v>
      </c>
      <c r="X28" s="70">
        <f t="shared" si="3"/>
        <v>0</v>
      </c>
    </row>
    <row r="29" spans="2:24">
      <c r="B29" t="s">
        <v>296</v>
      </c>
      <c r="C29" s="85" t="s">
        <v>202</v>
      </c>
      <c r="E29" s="53">
        <v>4193019</v>
      </c>
      <c r="F29" s="53"/>
      <c r="G29" s="53">
        <v>15755306633</v>
      </c>
      <c r="H29" s="53"/>
      <c r="I29" s="53">
        <v>-13877878188</v>
      </c>
      <c r="J29" s="53"/>
      <c r="K29" s="53">
        <f t="shared" si="0"/>
        <v>1877428445</v>
      </c>
      <c r="L29" s="53"/>
      <c r="M29" s="53">
        <v>4193019</v>
      </c>
      <c r="N29" s="53"/>
      <c r="O29" s="53">
        <v>15755306633</v>
      </c>
      <c r="P29" s="53"/>
      <c r="Q29" s="53">
        <v>-14551098338</v>
      </c>
      <c r="R29" s="53"/>
      <c r="S29" s="53">
        <f t="shared" si="1"/>
        <v>1204208295</v>
      </c>
      <c r="U29" s="53">
        <v>1877428445</v>
      </c>
      <c r="V29" s="80">
        <f t="shared" si="2"/>
        <v>0</v>
      </c>
      <c r="W29" s="53">
        <v>1204208295</v>
      </c>
      <c r="X29" s="70">
        <f t="shared" si="3"/>
        <v>0</v>
      </c>
    </row>
    <row r="30" spans="2:24">
      <c r="B30" t="s">
        <v>452</v>
      </c>
      <c r="C30" s="85" t="s">
        <v>443</v>
      </c>
      <c r="E30" s="53">
        <v>159284</v>
      </c>
      <c r="F30" s="53"/>
      <c r="G30" s="53">
        <v>304005624</v>
      </c>
      <c r="H30" s="53"/>
      <c r="I30" s="53">
        <v>-304005624</v>
      </c>
      <c r="J30" s="53"/>
      <c r="K30" s="53">
        <f t="shared" si="0"/>
        <v>0</v>
      </c>
      <c r="L30" s="53"/>
      <c r="M30" s="53">
        <v>159284</v>
      </c>
      <c r="N30" s="53"/>
      <c r="O30" s="53">
        <v>304005624</v>
      </c>
      <c r="P30" s="53"/>
      <c r="Q30" s="53">
        <v>-370625864</v>
      </c>
      <c r="R30" s="53"/>
      <c r="S30" s="53">
        <f t="shared" si="1"/>
        <v>-66620240</v>
      </c>
      <c r="U30" s="53">
        <v>0</v>
      </c>
      <c r="V30" s="80">
        <f t="shared" si="2"/>
        <v>0</v>
      </c>
      <c r="W30" s="53">
        <v>-66620240</v>
      </c>
      <c r="X30" s="70">
        <f t="shared" si="3"/>
        <v>0</v>
      </c>
    </row>
    <row r="31" spans="2:24">
      <c r="B31" t="s">
        <v>297</v>
      </c>
      <c r="C31" s="85" t="s">
        <v>111</v>
      </c>
      <c r="E31" s="53">
        <v>5621969</v>
      </c>
      <c r="F31" s="53"/>
      <c r="G31" s="53">
        <v>19168617719</v>
      </c>
      <c r="H31" s="53"/>
      <c r="I31" s="53">
        <v>-16892614948</v>
      </c>
      <c r="J31" s="53"/>
      <c r="K31" s="53">
        <f t="shared" si="0"/>
        <v>2276002771</v>
      </c>
      <c r="L31" s="53"/>
      <c r="M31" s="53">
        <v>5621969</v>
      </c>
      <c r="N31" s="53"/>
      <c r="O31" s="53">
        <v>19168617719</v>
      </c>
      <c r="P31" s="53"/>
      <c r="Q31" s="53">
        <v>-16558378810</v>
      </c>
      <c r="R31" s="53"/>
      <c r="S31" s="53">
        <f t="shared" si="1"/>
        <v>2610238909</v>
      </c>
      <c r="U31" s="53">
        <v>2276002771</v>
      </c>
      <c r="V31" s="80">
        <f t="shared" si="2"/>
        <v>0</v>
      </c>
      <c r="W31" s="53">
        <v>2610238909</v>
      </c>
      <c r="X31" s="70">
        <f t="shared" si="3"/>
        <v>0</v>
      </c>
    </row>
    <row r="32" spans="2:24">
      <c r="B32" t="s">
        <v>298</v>
      </c>
      <c r="C32" s="85" t="s">
        <v>275</v>
      </c>
      <c r="E32" s="53">
        <v>246169</v>
      </c>
      <c r="F32" s="53"/>
      <c r="G32" s="53">
        <v>3359122591</v>
      </c>
      <c r="H32" s="53"/>
      <c r="I32" s="53">
        <v>-3479917530</v>
      </c>
      <c r="J32" s="53"/>
      <c r="K32" s="53">
        <f t="shared" si="0"/>
        <v>-120794939</v>
      </c>
      <c r="L32" s="53"/>
      <c r="M32" s="53">
        <v>246169</v>
      </c>
      <c r="N32" s="53"/>
      <c r="O32" s="53">
        <v>3359122591</v>
      </c>
      <c r="P32" s="53"/>
      <c r="Q32" s="53">
        <v>-2661754963</v>
      </c>
      <c r="R32" s="53"/>
      <c r="S32" s="53">
        <f t="shared" si="1"/>
        <v>697367628</v>
      </c>
      <c r="U32" s="53">
        <v>-120794939</v>
      </c>
      <c r="V32" s="80">
        <f t="shared" si="2"/>
        <v>0</v>
      </c>
      <c r="W32" s="53">
        <v>697367628</v>
      </c>
      <c r="X32" s="70">
        <f t="shared" si="3"/>
        <v>0</v>
      </c>
    </row>
    <row r="33" spans="2:24">
      <c r="B33" t="s">
        <v>299</v>
      </c>
      <c r="C33" s="85" t="s">
        <v>108</v>
      </c>
      <c r="E33" s="53">
        <v>433308</v>
      </c>
      <c r="F33" s="53"/>
      <c r="G33" s="53">
        <v>18107881526</v>
      </c>
      <c r="H33" s="53"/>
      <c r="I33" s="53">
        <v>-13799725150</v>
      </c>
      <c r="J33" s="53"/>
      <c r="K33" s="53">
        <f t="shared" si="0"/>
        <v>4308156376</v>
      </c>
      <c r="L33" s="53"/>
      <c r="M33" s="53">
        <v>433308</v>
      </c>
      <c r="N33" s="53"/>
      <c r="O33" s="53">
        <v>18107881526</v>
      </c>
      <c r="P33" s="53"/>
      <c r="Q33" s="53">
        <v>-13381670921</v>
      </c>
      <c r="R33" s="53"/>
      <c r="S33" s="53">
        <f t="shared" si="1"/>
        <v>4726210605</v>
      </c>
      <c r="U33" s="53">
        <v>4308156376</v>
      </c>
      <c r="V33" s="80">
        <f t="shared" si="2"/>
        <v>0</v>
      </c>
      <c r="W33" s="53">
        <v>4726210605</v>
      </c>
      <c r="X33" s="70">
        <f t="shared" si="3"/>
        <v>0</v>
      </c>
    </row>
    <row r="34" spans="2:24">
      <c r="B34" t="s">
        <v>300</v>
      </c>
      <c r="C34" s="85" t="s">
        <v>116</v>
      </c>
      <c r="E34" s="53">
        <v>446643</v>
      </c>
      <c r="F34" s="53"/>
      <c r="G34" s="53">
        <v>2872586022</v>
      </c>
      <c r="H34" s="53"/>
      <c r="I34" s="53">
        <v>-2535692160</v>
      </c>
      <c r="J34" s="53"/>
      <c r="K34" s="53">
        <f t="shared" si="0"/>
        <v>336893862</v>
      </c>
      <c r="L34" s="53"/>
      <c r="M34" s="53">
        <v>446643</v>
      </c>
      <c r="N34" s="53"/>
      <c r="O34" s="53">
        <v>2872586022</v>
      </c>
      <c r="P34" s="53"/>
      <c r="Q34" s="53">
        <v>-2692558487</v>
      </c>
      <c r="R34" s="53"/>
      <c r="S34" s="53">
        <f t="shared" si="1"/>
        <v>180027535</v>
      </c>
      <c r="U34" s="53">
        <v>336893862</v>
      </c>
      <c r="V34" s="80">
        <f t="shared" si="2"/>
        <v>0</v>
      </c>
      <c r="W34" s="53">
        <v>180027535</v>
      </c>
      <c r="X34" s="70">
        <f t="shared" si="3"/>
        <v>0</v>
      </c>
    </row>
    <row r="35" spans="2:24">
      <c r="B35" t="s">
        <v>301</v>
      </c>
      <c r="C35" s="85" t="s">
        <v>273</v>
      </c>
      <c r="E35" s="53">
        <v>5202903</v>
      </c>
      <c r="F35" s="53"/>
      <c r="G35" s="53">
        <v>19146543086</v>
      </c>
      <c r="H35" s="53"/>
      <c r="I35" s="53">
        <v>-17022945386</v>
      </c>
      <c r="J35" s="53"/>
      <c r="K35" s="53">
        <f t="shared" si="0"/>
        <v>2123597700</v>
      </c>
      <c r="L35" s="53"/>
      <c r="M35" s="53">
        <v>5202903</v>
      </c>
      <c r="N35" s="53"/>
      <c r="O35" s="53">
        <v>19146543086</v>
      </c>
      <c r="P35" s="53"/>
      <c r="Q35" s="53">
        <v>-16252154439</v>
      </c>
      <c r="R35" s="53"/>
      <c r="S35" s="53">
        <f t="shared" si="1"/>
        <v>2894388647</v>
      </c>
      <c r="U35" s="53">
        <v>2123597700</v>
      </c>
      <c r="V35" s="80">
        <f t="shared" si="2"/>
        <v>0</v>
      </c>
      <c r="W35" s="53">
        <v>2894388647</v>
      </c>
      <c r="X35" s="70">
        <f t="shared" si="3"/>
        <v>0</v>
      </c>
    </row>
    <row r="36" spans="2:24">
      <c r="B36" t="s">
        <v>302</v>
      </c>
      <c r="C36" s="85" t="s">
        <v>257</v>
      </c>
      <c r="E36" s="53">
        <v>332040</v>
      </c>
      <c r="F36" s="53"/>
      <c r="G36" s="53">
        <v>726141600</v>
      </c>
      <c r="H36" s="53"/>
      <c r="I36" s="53">
        <v>-629102676</v>
      </c>
      <c r="J36" s="53"/>
      <c r="K36" s="53">
        <f t="shared" si="0"/>
        <v>97038924</v>
      </c>
      <c r="L36" s="53"/>
      <c r="M36" s="53">
        <v>332040</v>
      </c>
      <c r="N36" s="53"/>
      <c r="O36" s="53">
        <v>726141600</v>
      </c>
      <c r="P36" s="53"/>
      <c r="Q36" s="53">
        <v>-533465475</v>
      </c>
      <c r="R36" s="53"/>
      <c r="S36" s="53">
        <f t="shared" si="1"/>
        <v>192676125</v>
      </c>
      <c r="U36" s="53">
        <v>97038924</v>
      </c>
      <c r="V36" s="80">
        <f t="shared" si="2"/>
        <v>0</v>
      </c>
      <c r="W36" s="53">
        <v>192676125</v>
      </c>
      <c r="X36" s="70">
        <f t="shared" si="3"/>
        <v>0</v>
      </c>
    </row>
    <row r="37" spans="2:24">
      <c r="B37" t="s">
        <v>303</v>
      </c>
      <c r="C37" s="85" t="s">
        <v>88</v>
      </c>
      <c r="E37" s="53">
        <v>13854159</v>
      </c>
      <c r="F37" s="53"/>
      <c r="G37" s="53">
        <v>109622944964</v>
      </c>
      <c r="H37" s="53"/>
      <c r="I37" s="53">
        <v>-103463119930</v>
      </c>
      <c r="J37" s="53"/>
      <c r="K37" s="53">
        <f t="shared" si="0"/>
        <v>6159825034</v>
      </c>
      <c r="L37" s="53"/>
      <c r="M37" s="53">
        <v>13854159</v>
      </c>
      <c r="N37" s="53"/>
      <c r="O37" s="53">
        <v>109622944964</v>
      </c>
      <c r="P37" s="53"/>
      <c r="Q37" s="53">
        <v>-101993038990</v>
      </c>
      <c r="R37" s="53"/>
      <c r="S37" s="53">
        <f t="shared" si="1"/>
        <v>7629905974</v>
      </c>
      <c r="U37" s="53">
        <v>6159825034</v>
      </c>
      <c r="V37" s="80">
        <f t="shared" si="2"/>
        <v>0</v>
      </c>
      <c r="W37" s="53">
        <v>7629905974</v>
      </c>
      <c r="X37" s="70">
        <f t="shared" si="3"/>
        <v>0</v>
      </c>
    </row>
    <row r="38" spans="2:24">
      <c r="B38" t="s">
        <v>305</v>
      </c>
      <c r="C38" s="85" t="s">
        <v>188</v>
      </c>
      <c r="E38" s="53">
        <v>1702495</v>
      </c>
      <c r="F38" s="53"/>
      <c r="G38" s="53">
        <v>64309875884</v>
      </c>
      <c r="H38" s="53"/>
      <c r="I38" s="53">
        <v>-60350151325</v>
      </c>
      <c r="J38" s="53"/>
      <c r="K38" s="53">
        <f t="shared" si="0"/>
        <v>3959724559</v>
      </c>
      <c r="L38" s="53"/>
      <c r="M38" s="53">
        <v>1702495</v>
      </c>
      <c r="N38" s="53"/>
      <c r="O38" s="53">
        <v>64309875884</v>
      </c>
      <c r="P38" s="53"/>
      <c r="Q38" s="53">
        <v>-66678106745</v>
      </c>
      <c r="R38" s="53"/>
      <c r="S38" s="53">
        <f t="shared" si="1"/>
        <v>-2368230861</v>
      </c>
      <c r="U38" s="53">
        <v>3959724559</v>
      </c>
      <c r="V38" s="80">
        <f t="shared" si="2"/>
        <v>0</v>
      </c>
      <c r="W38" s="53">
        <v>-2368230861</v>
      </c>
      <c r="X38" s="70">
        <f t="shared" si="3"/>
        <v>0</v>
      </c>
    </row>
    <row r="39" spans="2:24">
      <c r="B39" t="s">
        <v>306</v>
      </c>
      <c r="C39" s="85" t="s">
        <v>221</v>
      </c>
      <c r="E39" s="53">
        <v>223990</v>
      </c>
      <c r="F39" s="53"/>
      <c r="G39" s="53">
        <v>9146760223</v>
      </c>
      <c r="H39" s="53"/>
      <c r="I39" s="53">
        <v>-8145085006</v>
      </c>
      <c r="J39" s="53"/>
      <c r="K39" s="53">
        <f t="shared" si="0"/>
        <v>1001675217</v>
      </c>
      <c r="L39" s="53"/>
      <c r="M39" s="53">
        <v>223990</v>
      </c>
      <c r="N39" s="53"/>
      <c r="O39" s="53">
        <v>9146760223</v>
      </c>
      <c r="P39" s="53"/>
      <c r="Q39" s="53">
        <v>-9863840899</v>
      </c>
      <c r="R39" s="53"/>
      <c r="S39" s="53">
        <f t="shared" si="1"/>
        <v>-717080676</v>
      </c>
      <c r="U39" s="53">
        <v>1001675217</v>
      </c>
      <c r="V39" s="80">
        <f t="shared" si="2"/>
        <v>0</v>
      </c>
      <c r="W39" s="53">
        <v>-717080676</v>
      </c>
      <c r="X39" s="70">
        <f t="shared" si="3"/>
        <v>0</v>
      </c>
    </row>
    <row r="40" spans="2:24">
      <c r="B40" t="s">
        <v>307</v>
      </c>
      <c r="C40" s="85" t="s">
        <v>126</v>
      </c>
      <c r="E40" s="53">
        <v>86765</v>
      </c>
      <c r="F40" s="53"/>
      <c r="G40" s="53">
        <v>6634253720</v>
      </c>
      <c r="H40" s="53"/>
      <c r="I40" s="53">
        <v>-6451335603</v>
      </c>
      <c r="J40" s="53"/>
      <c r="K40" s="53">
        <f t="shared" si="0"/>
        <v>182918117</v>
      </c>
      <c r="L40" s="53"/>
      <c r="M40" s="53">
        <v>86765</v>
      </c>
      <c r="N40" s="53"/>
      <c r="O40" s="53">
        <v>6634253720</v>
      </c>
      <c r="P40" s="53"/>
      <c r="Q40" s="53">
        <v>-6582755076</v>
      </c>
      <c r="R40" s="53"/>
      <c r="S40" s="53">
        <f t="shared" si="1"/>
        <v>51498644</v>
      </c>
      <c r="U40" s="53">
        <v>182918117</v>
      </c>
      <c r="V40" s="80">
        <f t="shared" si="2"/>
        <v>0</v>
      </c>
      <c r="W40" s="53">
        <v>51498644</v>
      </c>
      <c r="X40" s="70">
        <f t="shared" si="3"/>
        <v>0</v>
      </c>
    </row>
    <row r="41" spans="2:24">
      <c r="B41" t="s">
        <v>308</v>
      </c>
      <c r="C41" s="85" t="s">
        <v>186</v>
      </c>
      <c r="E41" s="53">
        <v>2243270</v>
      </c>
      <c r="F41" s="53"/>
      <c r="G41" s="53">
        <v>46137097429</v>
      </c>
      <c r="H41" s="53"/>
      <c r="I41" s="53">
        <v>-41636082462</v>
      </c>
      <c r="J41" s="53"/>
      <c r="K41" s="53">
        <f t="shared" si="0"/>
        <v>4501014967</v>
      </c>
      <c r="L41" s="53"/>
      <c r="M41" s="53">
        <v>2243270</v>
      </c>
      <c r="N41" s="53"/>
      <c r="O41" s="53">
        <v>46137097429</v>
      </c>
      <c r="P41" s="53"/>
      <c r="Q41" s="53">
        <v>-44395223468</v>
      </c>
      <c r="R41" s="53"/>
      <c r="S41" s="53">
        <f t="shared" si="1"/>
        <v>1741873961</v>
      </c>
      <c r="U41" s="53">
        <v>4501014967</v>
      </c>
      <c r="V41" s="80">
        <f t="shared" si="2"/>
        <v>0</v>
      </c>
      <c r="W41" s="53">
        <v>1741873961</v>
      </c>
      <c r="X41" s="70">
        <f t="shared" si="3"/>
        <v>0</v>
      </c>
    </row>
    <row r="42" spans="2:24">
      <c r="B42" t="s">
        <v>309</v>
      </c>
      <c r="C42" s="85" t="s">
        <v>181</v>
      </c>
      <c r="E42" s="53">
        <v>147723</v>
      </c>
      <c r="F42" s="53"/>
      <c r="G42" s="53">
        <v>2478727537</v>
      </c>
      <c r="H42" s="53"/>
      <c r="I42" s="53">
        <v>-2442081062</v>
      </c>
      <c r="J42" s="53"/>
      <c r="K42" s="53">
        <f t="shared" si="0"/>
        <v>36646475</v>
      </c>
      <c r="L42" s="53"/>
      <c r="M42" s="53">
        <v>147723</v>
      </c>
      <c r="N42" s="53"/>
      <c r="O42" s="53">
        <v>2478727537</v>
      </c>
      <c r="P42" s="53"/>
      <c r="Q42" s="53">
        <v>-2540350097</v>
      </c>
      <c r="R42" s="53"/>
      <c r="S42" s="53">
        <f t="shared" si="1"/>
        <v>-61622560</v>
      </c>
      <c r="U42" s="53">
        <v>36646475</v>
      </c>
      <c r="V42" s="80">
        <f t="shared" si="2"/>
        <v>0</v>
      </c>
      <c r="W42" s="53">
        <v>-61622560</v>
      </c>
      <c r="X42" s="70">
        <f t="shared" si="3"/>
        <v>0</v>
      </c>
    </row>
    <row r="43" spans="2:24">
      <c r="B43" t="s">
        <v>501</v>
      </c>
      <c r="C43" s="85" t="s">
        <v>482</v>
      </c>
      <c r="E43" s="53">
        <v>138643</v>
      </c>
      <c r="F43" s="53"/>
      <c r="G43" s="53">
        <v>667866392</v>
      </c>
      <c r="H43" s="53"/>
      <c r="I43" s="53">
        <v>-735948519</v>
      </c>
      <c r="J43" s="53"/>
      <c r="K43" s="53">
        <f t="shared" si="0"/>
        <v>-68082127</v>
      </c>
      <c r="L43" s="53"/>
      <c r="M43" s="53">
        <v>138643</v>
      </c>
      <c r="N43" s="53"/>
      <c r="O43" s="53">
        <v>667866392</v>
      </c>
      <c r="P43" s="53"/>
      <c r="Q43" s="53">
        <v>-552430636</v>
      </c>
      <c r="R43" s="53"/>
      <c r="S43" s="53">
        <f t="shared" si="1"/>
        <v>115435756</v>
      </c>
      <c r="U43" s="53">
        <v>-68082127</v>
      </c>
      <c r="V43" s="80">
        <f t="shared" si="2"/>
        <v>0</v>
      </c>
      <c r="W43" s="53">
        <v>115435756</v>
      </c>
      <c r="X43" s="70">
        <f t="shared" si="3"/>
        <v>0</v>
      </c>
    </row>
    <row r="44" spans="2:24">
      <c r="B44" t="s">
        <v>310</v>
      </c>
      <c r="C44" s="85" t="s">
        <v>265</v>
      </c>
      <c r="E44" s="53">
        <v>291941</v>
      </c>
      <c r="F44" s="53"/>
      <c r="G44" s="53">
        <v>2373868324</v>
      </c>
      <c r="H44" s="53"/>
      <c r="I44" s="53">
        <v>-2309903538</v>
      </c>
      <c r="J44" s="53"/>
      <c r="K44" s="53">
        <f t="shared" si="0"/>
        <v>63964786</v>
      </c>
      <c r="L44" s="53"/>
      <c r="M44" s="53">
        <v>291941</v>
      </c>
      <c r="N44" s="53"/>
      <c r="O44" s="53">
        <v>2373868324</v>
      </c>
      <c r="P44" s="53"/>
      <c r="Q44" s="53">
        <v>-2216500315</v>
      </c>
      <c r="R44" s="53"/>
      <c r="S44" s="53">
        <f t="shared" si="1"/>
        <v>157368009</v>
      </c>
      <c r="U44" s="53">
        <v>63964786</v>
      </c>
      <c r="V44" s="80">
        <f t="shared" si="2"/>
        <v>0</v>
      </c>
      <c r="W44" s="53">
        <v>157368009</v>
      </c>
      <c r="X44" s="70">
        <f t="shared" si="3"/>
        <v>0</v>
      </c>
    </row>
    <row r="45" spans="2:24">
      <c r="B45" t="s">
        <v>311</v>
      </c>
      <c r="C45" s="85" t="s">
        <v>258</v>
      </c>
      <c r="E45" s="53">
        <v>553342</v>
      </c>
      <c r="F45" s="53"/>
      <c r="G45" s="53">
        <v>13091180841</v>
      </c>
      <c r="H45" s="53"/>
      <c r="I45" s="53">
        <v>-12707994441</v>
      </c>
      <c r="J45" s="53"/>
      <c r="K45" s="53">
        <f t="shared" si="0"/>
        <v>383186400</v>
      </c>
      <c r="L45" s="53"/>
      <c r="M45" s="53">
        <v>553342</v>
      </c>
      <c r="N45" s="53"/>
      <c r="O45" s="53">
        <v>13091180841</v>
      </c>
      <c r="P45" s="53"/>
      <c r="Q45" s="53">
        <v>-11752543997</v>
      </c>
      <c r="R45" s="53"/>
      <c r="S45" s="53">
        <f t="shared" si="1"/>
        <v>1338636844</v>
      </c>
      <c r="U45" s="53">
        <v>383186400</v>
      </c>
      <c r="V45" s="80">
        <f t="shared" si="2"/>
        <v>0</v>
      </c>
      <c r="W45" s="53">
        <v>1338636844</v>
      </c>
      <c r="X45" s="70">
        <f t="shared" si="3"/>
        <v>0</v>
      </c>
    </row>
    <row r="46" spans="2:24">
      <c r="B46" t="s">
        <v>312</v>
      </c>
      <c r="C46" s="85" t="s">
        <v>259</v>
      </c>
      <c r="E46" s="53">
        <v>1318908</v>
      </c>
      <c r="F46" s="53"/>
      <c r="G46" s="53">
        <v>10304935513</v>
      </c>
      <c r="H46" s="53"/>
      <c r="I46" s="53">
        <v>-10072730555</v>
      </c>
      <c r="J46" s="53"/>
      <c r="K46" s="53">
        <f t="shared" si="0"/>
        <v>232204958</v>
      </c>
      <c r="L46" s="53"/>
      <c r="M46" s="53">
        <v>1318908</v>
      </c>
      <c r="N46" s="53"/>
      <c r="O46" s="53">
        <v>10304935513</v>
      </c>
      <c r="P46" s="53"/>
      <c r="Q46" s="53">
        <v>-8448541008</v>
      </c>
      <c r="R46" s="53"/>
      <c r="S46" s="53">
        <f t="shared" si="1"/>
        <v>1856394505</v>
      </c>
      <c r="U46" s="53">
        <v>232204958</v>
      </c>
      <c r="V46" s="80">
        <f t="shared" si="2"/>
        <v>0</v>
      </c>
      <c r="W46" s="53">
        <v>1856394505</v>
      </c>
      <c r="X46" s="70">
        <f t="shared" si="3"/>
        <v>0</v>
      </c>
    </row>
    <row r="47" spans="2:24">
      <c r="B47" t="s">
        <v>313</v>
      </c>
      <c r="C47" s="85" t="s">
        <v>225</v>
      </c>
      <c r="E47" s="53">
        <v>1703064</v>
      </c>
      <c r="F47" s="53"/>
      <c r="G47" s="53">
        <v>7638503635</v>
      </c>
      <c r="H47" s="53"/>
      <c r="I47" s="53">
        <v>-5760760602</v>
      </c>
      <c r="J47" s="53"/>
      <c r="K47" s="53">
        <f t="shared" si="0"/>
        <v>1877743033</v>
      </c>
      <c r="L47" s="53"/>
      <c r="M47" s="53">
        <v>1703064</v>
      </c>
      <c r="N47" s="53"/>
      <c r="O47" s="53">
        <v>7638503635</v>
      </c>
      <c r="P47" s="53"/>
      <c r="Q47" s="53">
        <v>-5531632272</v>
      </c>
      <c r="R47" s="53"/>
      <c r="S47" s="53">
        <f t="shared" si="1"/>
        <v>2106871363</v>
      </c>
      <c r="U47" s="53">
        <v>1877743033</v>
      </c>
      <c r="V47" s="80">
        <f t="shared" si="2"/>
        <v>0</v>
      </c>
      <c r="W47" s="53">
        <v>2106871363</v>
      </c>
      <c r="X47" s="70">
        <f t="shared" si="3"/>
        <v>0</v>
      </c>
    </row>
    <row r="48" spans="2:24">
      <c r="B48" t="s">
        <v>314</v>
      </c>
      <c r="C48" s="85" t="s">
        <v>210</v>
      </c>
      <c r="E48" s="53">
        <v>456116</v>
      </c>
      <c r="F48" s="53"/>
      <c r="G48" s="53">
        <v>10627745458</v>
      </c>
      <c r="H48" s="53"/>
      <c r="I48" s="53">
        <v>-8768428548</v>
      </c>
      <c r="J48" s="53"/>
      <c r="K48" s="53">
        <f t="shared" si="0"/>
        <v>1859316910</v>
      </c>
      <c r="L48" s="53"/>
      <c r="M48" s="53">
        <v>456116</v>
      </c>
      <c r="N48" s="53"/>
      <c r="O48" s="53">
        <v>10627745458</v>
      </c>
      <c r="P48" s="53"/>
      <c r="Q48" s="53">
        <v>-7718744156</v>
      </c>
      <c r="R48" s="53"/>
      <c r="S48" s="53">
        <f t="shared" si="1"/>
        <v>2909001302</v>
      </c>
      <c r="U48" s="53">
        <v>1859316910</v>
      </c>
      <c r="V48" s="80">
        <f t="shared" si="2"/>
        <v>0</v>
      </c>
      <c r="W48" s="53">
        <v>2909001302</v>
      </c>
      <c r="X48" s="70">
        <f t="shared" si="3"/>
        <v>0</v>
      </c>
    </row>
    <row r="49" spans="2:24">
      <c r="B49" t="s">
        <v>315</v>
      </c>
      <c r="C49" s="85" t="s">
        <v>146</v>
      </c>
      <c r="E49" s="53">
        <v>8516148</v>
      </c>
      <c r="F49" s="53"/>
      <c r="G49" s="53">
        <v>28418606021</v>
      </c>
      <c r="H49" s="53"/>
      <c r="I49" s="53">
        <v>-26235456297</v>
      </c>
      <c r="J49" s="53"/>
      <c r="K49" s="53">
        <f t="shared" si="0"/>
        <v>2183149724</v>
      </c>
      <c r="L49" s="53"/>
      <c r="M49" s="53">
        <v>8516148</v>
      </c>
      <c r="N49" s="53"/>
      <c r="O49" s="53">
        <v>28418606021</v>
      </c>
      <c r="P49" s="53"/>
      <c r="Q49" s="53">
        <v>-24983447709</v>
      </c>
      <c r="R49" s="53"/>
      <c r="S49" s="53">
        <f t="shared" si="1"/>
        <v>3435158312</v>
      </c>
      <c r="U49" s="53">
        <v>2183149724</v>
      </c>
      <c r="V49" s="80">
        <f t="shared" si="2"/>
        <v>0</v>
      </c>
      <c r="W49" s="53">
        <v>3435158312</v>
      </c>
      <c r="X49" s="70">
        <f t="shared" si="3"/>
        <v>0</v>
      </c>
    </row>
    <row r="50" spans="2:24">
      <c r="B50" t="s">
        <v>316</v>
      </c>
      <c r="C50" s="85" t="s">
        <v>200</v>
      </c>
      <c r="E50" s="53">
        <v>3889810</v>
      </c>
      <c r="F50" s="53"/>
      <c r="G50" s="53">
        <v>12984263192</v>
      </c>
      <c r="H50" s="53"/>
      <c r="I50" s="53">
        <v>-12984263192</v>
      </c>
      <c r="J50" s="53"/>
      <c r="K50" s="53">
        <f t="shared" si="0"/>
        <v>0</v>
      </c>
      <c r="L50" s="53"/>
      <c r="M50" s="53">
        <v>3889810</v>
      </c>
      <c r="N50" s="53"/>
      <c r="O50" s="53">
        <v>12984263192</v>
      </c>
      <c r="P50" s="53"/>
      <c r="Q50" s="53">
        <v>-14692402547</v>
      </c>
      <c r="R50" s="53"/>
      <c r="S50" s="53">
        <f t="shared" si="1"/>
        <v>-1708139355</v>
      </c>
      <c r="U50" s="53">
        <v>0</v>
      </c>
      <c r="V50" s="80">
        <f t="shared" si="2"/>
        <v>0</v>
      </c>
      <c r="W50" s="53">
        <v>-1708139355</v>
      </c>
      <c r="X50" s="70">
        <f t="shared" si="3"/>
        <v>0</v>
      </c>
    </row>
    <row r="51" spans="2:24">
      <c r="B51" t="s">
        <v>317</v>
      </c>
      <c r="C51" s="85" t="s">
        <v>155</v>
      </c>
      <c r="E51" s="53">
        <v>5511608</v>
      </c>
      <c r="F51" s="53"/>
      <c r="G51" s="53">
        <v>30900510581</v>
      </c>
      <c r="H51" s="53"/>
      <c r="I51" s="53">
        <v>-29314268246</v>
      </c>
      <c r="J51" s="53"/>
      <c r="K51" s="53">
        <f t="shared" si="0"/>
        <v>1586242335</v>
      </c>
      <c r="L51" s="53"/>
      <c r="M51" s="53">
        <v>5511608</v>
      </c>
      <c r="N51" s="53"/>
      <c r="O51" s="53">
        <v>30900510581</v>
      </c>
      <c r="P51" s="53"/>
      <c r="Q51" s="53">
        <v>-29452366142</v>
      </c>
      <c r="R51" s="53"/>
      <c r="S51" s="53">
        <f t="shared" si="1"/>
        <v>1448144439</v>
      </c>
      <c r="U51" s="53">
        <v>1586242335</v>
      </c>
      <c r="V51" s="80">
        <f t="shared" si="2"/>
        <v>0</v>
      </c>
      <c r="W51" s="53">
        <v>1448144439</v>
      </c>
      <c r="X51" s="70">
        <f t="shared" si="3"/>
        <v>0</v>
      </c>
    </row>
    <row r="52" spans="2:24">
      <c r="B52" t="s">
        <v>318</v>
      </c>
      <c r="C52" s="85" t="s">
        <v>93</v>
      </c>
      <c r="E52" s="53">
        <v>1090718</v>
      </c>
      <c r="F52" s="53"/>
      <c r="G52" s="53">
        <v>30846293088</v>
      </c>
      <c r="H52" s="53"/>
      <c r="I52" s="53">
        <v>-27671034056</v>
      </c>
      <c r="J52" s="53"/>
      <c r="K52" s="53">
        <f t="shared" si="0"/>
        <v>3175259032</v>
      </c>
      <c r="L52" s="53"/>
      <c r="M52" s="53">
        <v>1090718</v>
      </c>
      <c r="N52" s="53"/>
      <c r="O52" s="53">
        <v>30846293088</v>
      </c>
      <c r="P52" s="53"/>
      <c r="Q52" s="53">
        <v>-22219820161</v>
      </c>
      <c r="R52" s="53"/>
      <c r="S52" s="53">
        <f t="shared" si="1"/>
        <v>8626472927</v>
      </c>
      <c r="U52" s="53">
        <v>3175259032</v>
      </c>
      <c r="V52" s="80">
        <f t="shared" si="2"/>
        <v>0</v>
      </c>
      <c r="W52" s="53">
        <v>8626472927</v>
      </c>
      <c r="X52" s="70">
        <f t="shared" si="3"/>
        <v>0</v>
      </c>
    </row>
    <row r="53" spans="2:24">
      <c r="B53" t="s">
        <v>319</v>
      </c>
      <c r="C53" s="85" t="s">
        <v>216</v>
      </c>
      <c r="E53" s="53">
        <v>3756905</v>
      </c>
      <c r="F53" s="53"/>
      <c r="G53" s="53">
        <v>65093231171</v>
      </c>
      <c r="H53" s="53"/>
      <c r="I53" s="53">
        <v>-59422268727</v>
      </c>
      <c r="J53" s="53"/>
      <c r="K53" s="53">
        <f t="shared" si="0"/>
        <v>5670962444</v>
      </c>
      <c r="L53" s="53"/>
      <c r="M53" s="53">
        <v>3756905</v>
      </c>
      <c r="N53" s="53"/>
      <c r="O53" s="53">
        <v>65093231171</v>
      </c>
      <c r="P53" s="53"/>
      <c r="Q53" s="53">
        <v>-65866577152</v>
      </c>
      <c r="R53" s="53"/>
      <c r="S53" s="53">
        <f t="shared" si="1"/>
        <v>-773345981</v>
      </c>
      <c r="U53" s="53">
        <v>5670962444</v>
      </c>
      <c r="V53" s="80">
        <f t="shared" si="2"/>
        <v>0</v>
      </c>
      <c r="W53" s="53">
        <v>-773345981</v>
      </c>
      <c r="X53" s="70">
        <f t="shared" si="3"/>
        <v>0</v>
      </c>
    </row>
    <row r="54" spans="2:24">
      <c r="B54" t="s">
        <v>320</v>
      </c>
      <c r="C54" s="85" t="s">
        <v>226</v>
      </c>
      <c r="E54" s="53">
        <v>18522142</v>
      </c>
      <c r="F54" s="53"/>
      <c r="G54" s="53">
        <v>34872205376</v>
      </c>
      <c r="H54" s="53"/>
      <c r="I54" s="53">
        <v>-29639608685</v>
      </c>
      <c r="J54" s="53"/>
      <c r="K54" s="53">
        <f t="shared" si="0"/>
        <v>5232596691</v>
      </c>
      <c r="L54" s="53"/>
      <c r="M54" s="53">
        <v>18522142</v>
      </c>
      <c r="N54" s="53"/>
      <c r="O54" s="53">
        <v>34872205376</v>
      </c>
      <c r="P54" s="53"/>
      <c r="Q54" s="53">
        <v>-28523089806</v>
      </c>
      <c r="R54" s="53"/>
      <c r="S54" s="53">
        <f t="shared" si="1"/>
        <v>6349115570</v>
      </c>
      <c r="U54" s="53">
        <v>5232596691</v>
      </c>
      <c r="V54" s="80">
        <f t="shared" si="2"/>
        <v>0</v>
      </c>
      <c r="W54" s="53">
        <v>6349115570</v>
      </c>
      <c r="X54" s="70">
        <f t="shared" si="3"/>
        <v>0</v>
      </c>
    </row>
    <row r="55" spans="2:24">
      <c r="B55" t="s">
        <v>502</v>
      </c>
      <c r="C55" s="85" t="s">
        <v>483</v>
      </c>
      <c r="E55" s="53">
        <v>320497</v>
      </c>
      <c r="F55" s="53"/>
      <c r="G55" s="53">
        <v>10115233865</v>
      </c>
      <c r="H55" s="53"/>
      <c r="I55" s="53">
        <v>-8198127792</v>
      </c>
      <c r="J55" s="53"/>
      <c r="K55" s="53">
        <f t="shared" si="0"/>
        <v>1917106073</v>
      </c>
      <c r="L55" s="53"/>
      <c r="M55" s="53">
        <v>320497</v>
      </c>
      <c r="N55" s="53"/>
      <c r="O55" s="53">
        <v>10115233865</v>
      </c>
      <c r="P55" s="53"/>
      <c r="Q55" s="53">
        <v>-7896637366</v>
      </c>
      <c r="R55" s="53"/>
      <c r="S55" s="53">
        <f t="shared" si="1"/>
        <v>2218596499</v>
      </c>
      <c r="U55" s="53">
        <v>1917106073</v>
      </c>
      <c r="V55" s="80">
        <f t="shared" si="2"/>
        <v>0</v>
      </c>
      <c r="W55" s="53">
        <v>2218596499</v>
      </c>
      <c r="X55" s="70">
        <f t="shared" si="3"/>
        <v>0</v>
      </c>
    </row>
    <row r="56" spans="2:24">
      <c r="B56" t="s">
        <v>322</v>
      </c>
      <c r="C56" s="85" t="s">
        <v>130</v>
      </c>
      <c r="E56" s="53">
        <v>411280</v>
      </c>
      <c r="F56" s="53"/>
      <c r="G56" s="53">
        <v>4979584531</v>
      </c>
      <c r="H56" s="53"/>
      <c r="I56" s="53">
        <v>-4688512897</v>
      </c>
      <c r="J56" s="53"/>
      <c r="K56" s="53">
        <f t="shared" si="0"/>
        <v>291071634</v>
      </c>
      <c r="L56" s="53"/>
      <c r="M56" s="53">
        <v>411280</v>
      </c>
      <c r="N56" s="53"/>
      <c r="O56" s="53">
        <v>4979584531</v>
      </c>
      <c r="P56" s="53"/>
      <c r="Q56" s="53">
        <v>-5442587800</v>
      </c>
      <c r="R56" s="53"/>
      <c r="S56" s="53">
        <f t="shared" si="1"/>
        <v>-463003269</v>
      </c>
      <c r="U56" s="53">
        <v>291071634</v>
      </c>
      <c r="V56" s="80">
        <f t="shared" si="2"/>
        <v>0</v>
      </c>
      <c r="W56" s="53">
        <v>-463003269</v>
      </c>
      <c r="X56" s="70">
        <f t="shared" si="3"/>
        <v>0</v>
      </c>
    </row>
    <row r="57" spans="2:24">
      <c r="B57" t="s">
        <v>503</v>
      </c>
      <c r="C57" s="85" t="s">
        <v>484</v>
      </c>
      <c r="E57" s="53">
        <v>4451469</v>
      </c>
      <c r="F57" s="53"/>
      <c r="G57" s="53">
        <v>11589029852</v>
      </c>
      <c r="H57" s="53"/>
      <c r="I57" s="53">
        <v>-9738669929</v>
      </c>
      <c r="J57" s="53"/>
      <c r="K57" s="53">
        <f t="shared" si="0"/>
        <v>1850359923</v>
      </c>
      <c r="L57" s="53"/>
      <c r="M57" s="53">
        <v>4451469</v>
      </c>
      <c r="N57" s="53"/>
      <c r="O57" s="53">
        <v>11589029852</v>
      </c>
      <c r="P57" s="53"/>
      <c r="Q57" s="53">
        <v>-9447121879</v>
      </c>
      <c r="R57" s="53"/>
      <c r="S57" s="53">
        <f t="shared" si="1"/>
        <v>2141907973</v>
      </c>
      <c r="U57" s="53">
        <v>1850359923</v>
      </c>
      <c r="V57" s="80">
        <f t="shared" si="2"/>
        <v>0</v>
      </c>
      <c r="W57" s="53">
        <v>2141907973</v>
      </c>
      <c r="X57" s="70">
        <f t="shared" si="3"/>
        <v>0</v>
      </c>
    </row>
    <row r="58" spans="2:24">
      <c r="B58" t="s">
        <v>323</v>
      </c>
      <c r="C58" s="85" t="s">
        <v>103</v>
      </c>
      <c r="E58" s="53">
        <v>8622599</v>
      </c>
      <c r="F58" s="53"/>
      <c r="G58" s="53">
        <v>39342241924</v>
      </c>
      <c r="H58" s="53"/>
      <c r="I58" s="53">
        <v>-37069026957</v>
      </c>
      <c r="J58" s="53"/>
      <c r="K58" s="53">
        <f t="shared" si="0"/>
        <v>2273214967</v>
      </c>
      <c r="L58" s="53"/>
      <c r="M58" s="53">
        <v>8622599</v>
      </c>
      <c r="N58" s="53"/>
      <c r="O58" s="53">
        <v>39342241924</v>
      </c>
      <c r="P58" s="53"/>
      <c r="Q58" s="53">
        <v>-33581494935</v>
      </c>
      <c r="R58" s="53"/>
      <c r="S58" s="53">
        <f t="shared" si="1"/>
        <v>5760746989</v>
      </c>
      <c r="U58" s="53">
        <v>2273214967</v>
      </c>
      <c r="V58" s="80">
        <f t="shared" si="2"/>
        <v>0</v>
      </c>
      <c r="W58" s="53">
        <v>5760746989</v>
      </c>
      <c r="X58" s="70">
        <f t="shared" si="3"/>
        <v>0</v>
      </c>
    </row>
    <row r="59" spans="2:24">
      <c r="B59" t="s">
        <v>449</v>
      </c>
      <c r="C59" s="85" t="s">
        <v>441</v>
      </c>
      <c r="E59" s="53">
        <v>2119870</v>
      </c>
      <c r="F59" s="53"/>
      <c r="G59" s="53">
        <v>16099441752</v>
      </c>
      <c r="H59" s="53"/>
      <c r="I59" s="53">
        <v>-14411578478</v>
      </c>
      <c r="J59" s="53"/>
      <c r="K59" s="53">
        <f t="shared" si="0"/>
        <v>1687863274</v>
      </c>
      <c r="L59" s="53"/>
      <c r="M59" s="53">
        <v>2119870</v>
      </c>
      <c r="N59" s="53"/>
      <c r="O59" s="53">
        <v>16099441752</v>
      </c>
      <c r="P59" s="53"/>
      <c r="Q59" s="53">
        <v>-14456492059</v>
      </c>
      <c r="R59" s="53"/>
      <c r="S59" s="53">
        <f t="shared" si="1"/>
        <v>1642949693</v>
      </c>
      <c r="U59" s="53">
        <v>1687863274</v>
      </c>
      <c r="V59" s="80">
        <f t="shared" si="2"/>
        <v>0</v>
      </c>
      <c r="W59" s="53">
        <v>1642949693</v>
      </c>
      <c r="X59" s="70">
        <f t="shared" si="3"/>
        <v>0</v>
      </c>
    </row>
    <row r="60" spans="2:24">
      <c r="B60" t="s">
        <v>324</v>
      </c>
      <c r="C60" s="85" t="s">
        <v>132</v>
      </c>
      <c r="E60" s="53">
        <v>1056544</v>
      </c>
      <c r="F60" s="53"/>
      <c r="G60" s="53">
        <v>16426028292</v>
      </c>
      <c r="H60" s="53"/>
      <c r="I60" s="53">
        <v>-14564171545</v>
      </c>
      <c r="J60" s="53"/>
      <c r="K60" s="53">
        <f t="shared" si="0"/>
        <v>1861856747</v>
      </c>
      <c r="L60" s="53"/>
      <c r="M60" s="53">
        <v>1056544</v>
      </c>
      <c r="N60" s="53"/>
      <c r="O60" s="53">
        <v>16426028292</v>
      </c>
      <c r="P60" s="53"/>
      <c r="Q60" s="53">
        <v>-14801886830</v>
      </c>
      <c r="R60" s="53"/>
      <c r="S60" s="53">
        <f t="shared" si="1"/>
        <v>1624141462</v>
      </c>
      <c r="U60" s="53">
        <v>1861856747</v>
      </c>
      <c r="V60" s="80">
        <f t="shared" si="2"/>
        <v>0</v>
      </c>
      <c r="W60" s="53">
        <v>1624141462</v>
      </c>
      <c r="X60" s="70">
        <f t="shared" si="3"/>
        <v>0</v>
      </c>
    </row>
    <row r="61" spans="2:24">
      <c r="B61" t="s">
        <v>325</v>
      </c>
      <c r="C61" s="85" t="s">
        <v>147</v>
      </c>
      <c r="E61" s="53">
        <v>4491229</v>
      </c>
      <c r="F61" s="53"/>
      <c r="G61" s="53">
        <v>20684057171</v>
      </c>
      <c r="H61" s="53"/>
      <c r="I61" s="53">
        <v>-19590321855</v>
      </c>
      <c r="J61" s="53"/>
      <c r="K61" s="53">
        <f t="shared" si="0"/>
        <v>1093735316</v>
      </c>
      <c r="L61" s="53"/>
      <c r="M61" s="53">
        <v>4491229</v>
      </c>
      <c r="N61" s="53"/>
      <c r="O61" s="53">
        <v>20684057171</v>
      </c>
      <c r="P61" s="53"/>
      <c r="Q61" s="53">
        <v>-18859042382</v>
      </c>
      <c r="R61" s="53"/>
      <c r="S61" s="53">
        <f t="shared" si="1"/>
        <v>1825014789</v>
      </c>
      <c r="U61" s="53">
        <v>1093735316</v>
      </c>
      <c r="V61" s="80">
        <f t="shared" si="2"/>
        <v>0</v>
      </c>
      <c r="W61" s="53">
        <v>1825014789</v>
      </c>
      <c r="X61" s="70">
        <f t="shared" si="3"/>
        <v>0</v>
      </c>
    </row>
    <row r="62" spans="2:24">
      <c r="B62" t="s">
        <v>712</v>
      </c>
      <c r="C62" s="85" t="s">
        <v>539</v>
      </c>
      <c r="E62" s="53">
        <v>3821252</v>
      </c>
      <c r="F62" s="53"/>
      <c r="G62" s="53">
        <v>10491499955</v>
      </c>
      <c r="H62" s="53"/>
      <c r="I62" s="53">
        <v>-9932193791</v>
      </c>
      <c r="J62" s="53"/>
      <c r="K62" s="53">
        <f t="shared" si="0"/>
        <v>559306164</v>
      </c>
      <c r="L62" s="53"/>
      <c r="M62" s="53">
        <v>3821252</v>
      </c>
      <c r="N62" s="53"/>
      <c r="O62" s="53">
        <v>10491499955</v>
      </c>
      <c r="P62" s="53"/>
      <c r="Q62" s="53">
        <v>-9932193791</v>
      </c>
      <c r="R62" s="53"/>
      <c r="S62" s="53">
        <f t="shared" si="1"/>
        <v>559306164</v>
      </c>
      <c r="U62" s="53">
        <v>559306164</v>
      </c>
      <c r="V62" s="80">
        <f t="shared" si="2"/>
        <v>0</v>
      </c>
      <c r="W62" s="53">
        <v>559306164</v>
      </c>
      <c r="X62" s="70">
        <f t="shared" si="3"/>
        <v>0</v>
      </c>
    </row>
    <row r="63" spans="2:24">
      <c r="B63" t="s">
        <v>326</v>
      </c>
      <c r="C63" s="85" t="s">
        <v>185</v>
      </c>
      <c r="E63" s="53">
        <v>745784</v>
      </c>
      <c r="F63" s="53"/>
      <c r="G63" s="53">
        <v>18214885602</v>
      </c>
      <c r="H63" s="53"/>
      <c r="I63" s="53">
        <v>-15946051752</v>
      </c>
      <c r="J63" s="53"/>
      <c r="K63" s="53">
        <f t="shared" si="0"/>
        <v>2268833850</v>
      </c>
      <c r="L63" s="53"/>
      <c r="M63" s="53">
        <v>745784</v>
      </c>
      <c r="N63" s="53"/>
      <c r="O63" s="53">
        <v>18214885602</v>
      </c>
      <c r="P63" s="53"/>
      <c r="Q63" s="53">
        <v>-16062513405</v>
      </c>
      <c r="R63" s="53"/>
      <c r="S63" s="53">
        <f t="shared" si="1"/>
        <v>2152372197</v>
      </c>
      <c r="U63" s="53">
        <v>2268833850</v>
      </c>
      <c r="V63" s="80">
        <f t="shared" si="2"/>
        <v>0</v>
      </c>
      <c r="W63" s="53">
        <v>2152372197</v>
      </c>
      <c r="X63" s="70">
        <f t="shared" si="3"/>
        <v>0</v>
      </c>
    </row>
    <row r="64" spans="2:24">
      <c r="B64" t="s">
        <v>327</v>
      </c>
      <c r="C64" s="85" t="s">
        <v>128</v>
      </c>
      <c r="E64" s="53">
        <v>4014837</v>
      </c>
      <c r="F64" s="53"/>
      <c r="G64" s="53">
        <v>14686691291</v>
      </c>
      <c r="H64" s="53"/>
      <c r="I64" s="53">
        <v>-12519041985</v>
      </c>
      <c r="J64" s="53"/>
      <c r="K64" s="53">
        <f t="shared" si="0"/>
        <v>2167649306</v>
      </c>
      <c r="L64" s="53"/>
      <c r="M64" s="53">
        <v>4014837</v>
      </c>
      <c r="N64" s="53"/>
      <c r="O64" s="53">
        <v>14686691291</v>
      </c>
      <c r="P64" s="53"/>
      <c r="Q64" s="53">
        <v>-10143729101</v>
      </c>
      <c r="R64" s="53"/>
      <c r="S64" s="53">
        <f t="shared" si="1"/>
        <v>4542962190</v>
      </c>
      <c r="U64" s="53">
        <v>2167649306</v>
      </c>
      <c r="V64" s="80">
        <f t="shared" si="2"/>
        <v>0</v>
      </c>
      <c r="W64" s="53">
        <v>4542962190</v>
      </c>
      <c r="X64" s="70">
        <f t="shared" si="3"/>
        <v>0</v>
      </c>
    </row>
    <row r="65" spans="2:24">
      <c r="B65" t="s">
        <v>328</v>
      </c>
      <c r="C65" s="85" t="s">
        <v>176</v>
      </c>
      <c r="E65" s="53">
        <v>1005149</v>
      </c>
      <c r="F65" s="53"/>
      <c r="G65" s="53">
        <v>13888440254</v>
      </c>
      <c r="H65" s="53"/>
      <c r="I65" s="53">
        <v>-11098790396</v>
      </c>
      <c r="J65" s="53"/>
      <c r="K65" s="53">
        <f t="shared" si="0"/>
        <v>2789649858</v>
      </c>
      <c r="L65" s="53"/>
      <c r="M65" s="53">
        <v>1005149</v>
      </c>
      <c r="N65" s="53"/>
      <c r="O65" s="53">
        <v>13888440254</v>
      </c>
      <c r="P65" s="53"/>
      <c r="Q65" s="53">
        <v>-10819183487</v>
      </c>
      <c r="R65" s="53"/>
      <c r="S65" s="53">
        <f t="shared" si="1"/>
        <v>3069256767</v>
      </c>
      <c r="U65" s="53">
        <v>2789649858</v>
      </c>
      <c r="V65" s="80">
        <f t="shared" si="2"/>
        <v>0</v>
      </c>
      <c r="W65" s="53">
        <v>3069256767</v>
      </c>
      <c r="X65" s="70">
        <f t="shared" si="3"/>
        <v>0</v>
      </c>
    </row>
    <row r="66" spans="2:24">
      <c r="B66" t="s">
        <v>329</v>
      </c>
      <c r="C66" s="85" t="s">
        <v>179</v>
      </c>
      <c r="E66" s="53">
        <v>1228423</v>
      </c>
      <c r="F66" s="53"/>
      <c r="G66" s="53">
        <v>17681729032</v>
      </c>
      <c r="H66" s="53"/>
      <c r="I66" s="53">
        <v>-14280101859</v>
      </c>
      <c r="J66" s="53"/>
      <c r="K66" s="53">
        <f t="shared" si="0"/>
        <v>3401627173</v>
      </c>
      <c r="L66" s="53"/>
      <c r="M66" s="53">
        <v>1228423</v>
      </c>
      <c r="N66" s="53"/>
      <c r="O66" s="53">
        <v>17681729032</v>
      </c>
      <c r="P66" s="53"/>
      <c r="Q66" s="53">
        <v>-10042729180</v>
      </c>
      <c r="R66" s="53"/>
      <c r="S66" s="53">
        <f t="shared" si="1"/>
        <v>7638999852</v>
      </c>
      <c r="U66" s="53">
        <v>3401627173</v>
      </c>
      <c r="V66" s="80">
        <f t="shared" si="2"/>
        <v>0</v>
      </c>
      <c r="W66" s="53">
        <v>7638999852</v>
      </c>
      <c r="X66" s="70">
        <f t="shared" si="3"/>
        <v>0</v>
      </c>
    </row>
    <row r="67" spans="2:24">
      <c r="B67" t="s">
        <v>330</v>
      </c>
      <c r="C67" s="85" t="s">
        <v>144</v>
      </c>
      <c r="E67" s="53">
        <v>240718</v>
      </c>
      <c r="F67" s="53"/>
      <c r="G67" s="53">
        <v>4857500279</v>
      </c>
      <c r="H67" s="53"/>
      <c r="I67" s="53">
        <v>-3964796970</v>
      </c>
      <c r="J67" s="53"/>
      <c r="K67" s="53">
        <f t="shared" si="0"/>
        <v>892703309</v>
      </c>
      <c r="L67" s="53"/>
      <c r="M67" s="53">
        <v>240718</v>
      </c>
      <c r="N67" s="53"/>
      <c r="O67" s="53">
        <v>4857500279</v>
      </c>
      <c r="P67" s="53"/>
      <c r="Q67" s="53">
        <v>-2663120306</v>
      </c>
      <c r="R67" s="53"/>
      <c r="S67" s="53">
        <f t="shared" si="1"/>
        <v>2194379973</v>
      </c>
      <c r="U67" s="53">
        <v>892703309</v>
      </c>
      <c r="V67" s="80">
        <f t="shared" si="2"/>
        <v>0</v>
      </c>
      <c r="W67" s="53">
        <v>2194379973</v>
      </c>
      <c r="X67" s="70">
        <f t="shared" si="3"/>
        <v>0</v>
      </c>
    </row>
    <row r="68" spans="2:24">
      <c r="B68" t="s">
        <v>331</v>
      </c>
      <c r="C68" s="85" t="s">
        <v>166</v>
      </c>
      <c r="E68" s="53">
        <v>392714</v>
      </c>
      <c r="F68" s="53"/>
      <c r="G68" s="53">
        <v>15841512934</v>
      </c>
      <c r="H68" s="53"/>
      <c r="I68" s="53">
        <v>-14957779735</v>
      </c>
      <c r="J68" s="53"/>
      <c r="K68" s="53">
        <f t="shared" si="0"/>
        <v>883733199</v>
      </c>
      <c r="L68" s="53"/>
      <c r="M68" s="53">
        <v>392714</v>
      </c>
      <c r="N68" s="53"/>
      <c r="O68" s="53">
        <v>15841512934</v>
      </c>
      <c r="P68" s="53"/>
      <c r="Q68" s="53">
        <v>-14825198930</v>
      </c>
      <c r="R68" s="53"/>
      <c r="S68" s="53">
        <f t="shared" si="1"/>
        <v>1016314004</v>
      </c>
      <c r="U68" s="53">
        <v>883733199</v>
      </c>
      <c r="V68" s="80">
        <f t="shared" si="2"/>
        <v>0</v>
      </c>
      <c r="W68" s="53">
        <v>1016314004</v>
      </c>
      <c r="X68" s="70">
        <f t="shared" si="3"/>
        <v>0</v>
      </c>
    </row>
    <row r="69" spans="2:24">
      <c r="B69" t="s">
        <v>504</v>
      </c>
      <c r="C69" s="85" t="s">
        <v>485</v>
      </c>
      <c r="E69" s="53">
        <v>2511214</v>
      </c>
      <c r="F69" s="53"/>
      <c r="G69" s="53">
        <v>34348706530</v>
      </c>
      <c r="H69" s="53"/>
      <c r="I69" s="53">
        <v>-31767907983</v>
      </c>
      <c r="J69" s="53"/>
      <c r="K69" s="53">
        <f t="shared" si="0"/>
        <v>2580798547</v>
      </c>
      <c r="L69" s="53"/>
      <c r="M69" s="53">
        <v>2511214</v>
      </c>
      <c r="N69" s="53"/>
      <c r="O69" s="53">
        <v>34348706530</v>
      </c>
      <c r="P69" s="53"/>
      <c r="Q69" s="53">
        <v>-30907491501</v>
      </c>
      <c r="R69" s="53"/>
      <c r="S69" s="53">
        <f t="shared" si="1"/>
        <v>3441215029</v>
      </c>
      <c r="U69" s="53">
        <v>2580798547</v>
      </c>
      <c r="V69" s="80">
        <f t="shared" si="2"/>
        <v>0</v>
      </c>
      <c r="W69" s="53">
        <v>3441215029</v>
      </c>
      <c r="X69" s="70">
        <f t="shared" si="3"/>
        <v>0</v>
      </c>
    </row>
    <row r="70" spans="2:24">
      <c r="B70" t="s">
        <v>332</v>
      </c>
      <c r="C70" s="85" t="s">
        <v>135</v>
      </c>
      <c r="E70" s="53">
        <v>607205</v>
      </c>
      <c r="F70" s="53"/>
      <c r="G70" s="53">
        <v>7394003600</v>
      </c>
      <c r="H70" s="53"/>
      <c r="I70" s="53">
        <v>-5086126890</v>
      </c>
      <c r="J70" s="53"/>
      <c r="K70" s="53">
        <f t="shared" ref="K70:K131" si="4">G70+I70</f>
        <v>2307876710</v>
      </c>
      <c r="L70" s="53"/>
      <c r="M70" s="53">
        <v>607205</v>
      </c>
      <c r="N70" s="53"/>
      <c r="O70" s="53">
        <v>7394003600</v>
      </c>
      <c r="P70" s="53"/>
      <c r="Q70" s="53">
        <v>-3944071176</v>
      </c>
      <c r="R70" s="53"/>
      <c r="S70" s="53">
        <f t="shared" ref="S70:S131" si="5">O70+Q70</f>
        <v>3449932424</v>
      </c>
      <c r="U70" s="53">
        <v>2307876710</v>
      </c>
      <c r="V70" s="80">
        <f t="shared" ref="V70:V131" si="6">U70-K70</f>
        <v>0</v>
      </c>
      <c r="W70" s="53">
        <v>3449932424</v>
      </c>
      <c r="X70" s="70">
        <f t="shared" ref="X70:X131" si="7">S70-W70</f>
        <v>0</v>
      </c>
    </row>
    <row r="71" spans="2:24">
      <c r="B71" t="s">
        <v>333</v>
      </c>
      <c r="C71" s="85" t="s">
        <v>271</v>
      </c>
      <c r="E71" s="53">
        <v>1902374</v>
      </c>
      <c r="F71" s="53"/>
      <c r="G71" s="53">
        <v>23827291424</v>
      </c>
      <c r="H71" s="53"/>
      <c r="I71" s="53">
        <v>-23047813030</v>
      </c>
      <c r="J71" s="53"/>
      <c r="K71" s="53">
        <f t="shared" si="4"/>
        <v>779478394</v>
      </c>
      <c r="L71" s="53"/>
      <c r="M71" s="53">
        <v>1902374</v>
      </c>
      <c r="N71" s="53"/>
      <c r="O71" s="53">
        <v>23827291424</v>
      </c>
      <c r="P71" s="53"/>
      <c r="Q71" s="53">
        <v>-23428425061</v>
      </c>
      <c r="R71" s="53"/>
      <c r="S71" s="53">
        <f t="shared" si="5"/>
        <v>398866363</v>
      </c>
      <c r="U71" s="53">
        <v>779478394</v>
      </c>
      <c r="V71" s="80">
        <f t="shared" si="6"/>
        <v>0</v>
      </c>
      <c r="W71" s="53">
        <v>398866363</v>
      </c>
      <c r="X71" s="70">
        <f t="shared" si="7"/>
        <v>0</v>
      </c>
    </row>
    <row r="72" spans="2:24">
      <c r="B72" t="s">
        <v>334</v>
      </c>
      <c r="C72" s="85" t="s">
        <v>267</v>
      </c>
      <c r="E72" s="53">
        <v>577978</v>
      </c>
      <c r="F72" s="53"/>
      <c r="G72" s="53">
        <v>9790145090</v>
      </c>
      <c r="H72" s="53"/>
      <c r="I72" s="53">
        <v>-8563278149</v>
      </c>
      <c r="J72" s="53"/>
      <c r="K72" s="53">
        <f t="shared" si="4"/>
        <v>1226866941</v>
      </c>
      <c r="L72" s="53"/>
      <c r="M72" s="53">
        <v>577978</v>
      </c>
      <c r="N72" s="53"/>
      <c r="O72" s="53">
        <v>9790145090</v>
      </c>
      <c r="P72" s="53"/>
      <c r="Q72" s="53">
        <v>-8923859402</v>
      </c>
      <c r="R72" s="53"/>
      <c r="S72" s="53">
        <f t="shared" si="5"/>
        <v>866285688</v>
      </c>
      <c r="U72" s="53">
        <v>1226866941</v>
      </c>
      <c r="V72" s="80">
        <f t="shared" si="6"/>
        <v>0</v>
      </c>
      <c r="W72" s="53">
        <v>866285688</v>
      </c>
      <c r="X72" s="70">
        <f t="shared" si="7"/>
        <v>0</v>
      </c>
    </row>
    <row r="73" spans="2:24">
      <c r="B73" t="s">
        <v>450</v>
      </c>
      <c r="C73" s="85" t="s">
        <v>440</v>
      </c>
      <c r="E73" s="53">
        <v>1011446</v>
      </c>
      <c r="F73" s="53"/>
      <c r="G73" s="53">
        <v>13895013530</v>
      </c>
      <c r="H73" s="53"/>
      <c r="I73" s="53">
        <v>-9539457174</v>
      </c>
      <c r="J73" s="53"/>
      <c r="K73" s="53">
        <f t="shared" si="4"/>
        <v>4355556356</v>
      </c>
      <c r="L73" s="53"/>
      <c r="M73" s="53">
        <v>1011446</v>
      </c>
      <c r="N73" s="53"/>
      <c r="O73" s="53">
        <v>13895013530</v>
      </c>
      <c r="P73" s="53"/>
      <c r="Q73" s="53">
        <v>-8037077112</v>
      </c>
      <c r="R73" s="53"/>
      <c r="S73" s="53">
        <f t="shared" si="5"/>
        <v>5857936418</v>
      </c>
      <c r="U73" s="53">
        <v>4355556356</v>
      </c>
      <c r="V73" s="80">
        <f t="shared" si="6"/>
        <v>0</v>
      </c>
      <c r="W73" s="53">
        <v>5857936418</v>
      </c>
      <c r="X73" s="70">
        <f t="shared" si="7"/>
        <v>0</v>
      </c>
    </row>
    <row r="74" spans="2:24">
      <c r="B74" t="s">
        <v>335</v>
      </c>
      <c r="C74" s="85" t="s">
        <v>180</v>
      </c>
      <c r="E74" s="53">
        <v>994178</v>
      </c>
      <c r="F74" s="53"/>
      <c r="G74" s="53">
        <v>29351400438</v>
      </c>
      <c r="H74" s="53"/>
      <c r="I74" s="53">
        <v>-28867330708</v>
      </c>
      <c r="J74" s="53"/>
      <c r="K74" s="53">
        <f t="shared" si="4"/>
        <v>484069730</v>
      </c>
      <c r="L74" s="53"/>
      <c r="M74" s="53">
        <v>994178</v>
      </c>
      <c r="N74" s="53"/>
      <c r="O74" s="53">
        <v>29351400438</v>
      </c>
      <c r="P74" s="53"/>
      <c r="Q74" s="53">
        <v>-26150518493</v>
      </c>
      <c r="R74" s="53"/>
      <c r="S74" s="53">
        <f t="shared" si="5"/>
        <v>3200881945</v>
      </c>
      <c r="U74" s="53">
        <v>484069730</v>
      </c>
      <c r="V74" s="80">
        <f t="shared" si="6"/>
        <v>0</v>
      </c>
      <c r="W74" s="53">
        <v>3200881945</v>
      </c>
      <c r="X74" s="70">
        <f t="shared" si="7"/>
        <v>0</v>
      </c>
    </row>
    <row r="75" spans="2:24">
      <c r="B75" t="s">
        <v>505</v>
      </c>
      <c r="C75" s="85" t="s">
        <v>486</v>
      </c>
      <c r="E75" s="53">
        <v>1889000</v>
      </c>
      <c r="F75" s="53"/>
      <c r="G75" s="53">
        <v>7118547126</v>
      </c>
      <c r="H75" s="53"/>
      <c r="I75" s="53">
        <v>-6401386707</v>
      </c>
      <c r="J75" s="53"/>
      <c r="K75" s="53">
        <f t="shared" si="4"/>
        <v>717160419</v>
      </c>
      <c r="L75" s="53"/>
      <c r="M75" s="53">
        <v>1889000</v>
      </c>
      <c r="N75" s="53"/>
      <c r="O75" s="53">
        <v>7118547126</v>
      </c>
      <c r="P75" s="53"/>
      <c r="Q75" s="53">
        <v>-5690930077</v>
      </c>
      <c r="R75" s="53"/>
      <c r="S75" s="53">
        <f t="shared" si="5"/>
        <v>1427617049</v>
      </c>
      <c r="U75" s="53">
        <v>717160419</v>
      </c>
      <c r="V75" s="80">
        <f t="shared" si="6"/>
        <v>0</v>
      </c>
      <c r="W75" s="53">
        <v>1427617049</v>
      </c>
      <c r="X75" s="70">
        <f t="shared" si="7"/>
        <v>0</v>
      </c>
    </row>
    <row r="76" spans="2:24">
      <c r="B76" t="s">
        <v>713</v>
      </c>
      <c r="C76" s="85" t="s">
        <v>516</v>
      </c>
      <c r="E76" s="53">
        <v>2271317</v>
      </c>
      <c r="F76" s="53"/>
      <c r="G76" s="53">
        <v>9408263704</v>
      </c>
      <c r="H76" s="53"/>
      <c r="I76" s="53">
        <v>-9123095772</v>
      </c>
      <c r="J76" s="53"/>
      <c r="K76" s="53">
        <f t="shared" si="4"/>
        <v>285167932</v>
      </c>
      <c r="L76" s="53"/>
      <c r="M76" s="53">
        <v>2271317</v>
      </c>
      <c r="N76" s="53"/>
      <c r="O76" s="53">
        <v>9408263704</v>
      </c>
      <c r="P76" s="53"/>
      <c r="Q76" s="53">
        <v>-9118821095</v>
      </c>
      <c r="R76" s="53"/>
      <c r="S76" s="53">
        <f t="shared" si="5"/>
        <v>289442609</v>
      </c>
      <c r="U76" s="53">
        <v>285167932</v>
      </c>
      <c r="V76" s="80">
        <f t="shared" si="6"/>
        <v>0</v>
      </c>
      <c r="W76" s="53">
        <v>289442609</v>
      </c>
      <c r="X76" s="70">
        <f t="shared" si="7"/>
        <v>0</v>
      </c>
    </row>
    <row r="77" spans="2:24">
      <c r="B77" t="s">
        <v>336</v>
      </c>
      <c r="C77" s="85" t="s">
        <v>117</v>
      </c>
      <c r="E77" s="53">
        <v>7225511</v>
      </c>
      <c r="F77" s="53"/>
      <c r="G77" s="53">
        <v>23149259417</v>
      </c>
      <c r="H77" s="53"/>
      <c r="I77" s="53">
        <v>-21712778783</v>
      </c>
      <c r="J77" s="53"/>
      <c r="K77" s="53">
        <f t="shared" si="4"/>
        <v>1436480634</v>
      </c>
      <c r="L77" s="53"/>
      <c r="M77" s="53">
        <v>7225511</v>
      </c>
      <c r="N77" s="53"/>
      <c r="O77" s="53">
        <v>23149259417</v>
      </c>
      <c r="P77" s="53"/>
      <c r="Q77" s="53">
        <v>-21136841300</v>
      </c>
      <c r="R77" s="53"/>
      <c r="S77" s="53">
        <f t="shared" si="5"/>
        <v>2012418117</v>
      </c>
      <c r="U77" s="53">
        <v>1436480634</v>
      </c>
      <c r="V77" s="80">
        <f t="shared" si="6"/>
        <v>0</v>
      </c>
      <c r="W77" s="53">
        <v>2012418117</v>
      </c>
      <c r="X77" s="70">
        <f t="shared" si="7"/>
        <v>0</v>
      </c>
    </row>
    <row r="78" spans="2:24">
      <c r="B78" t="s">
        <v>337</v>
      </c>
      <c r="C78" s="85" t="s">
        <v>90</v>
      </c>
      <c r="E78" s="53">
        <v>8026179</v>
      </c>
      <c r="F78" s="53"/>
      <c r="G78" s="53">
        <v>38607590038</v>
      </c>
      <c r="H78" s="53"/>
      <c r="I78" s="53">
        <v>-31026816137</v>
      </c>
      <c r="J78" s="53"/>
      <c r="K78" s="53">
        <f t="shared" si="4"/>
        <v>7580773901</v>
      </c>
      <c r="L78" s="53"/>
      <c r="M78" s="53">
        <v>8026179</v>
      </c>
      <c r="N78" s="53"/>
      <c r="O78" s="53">
        <v>38607590038</v>
      </c>
      <c r="P78" s="53"/>
      <c r="Q78" s="53">
        <v>-28536308649</v>
      </c>
      <c r="R78" s="53"/>
      <c r="S78" s="53">
        <f t="shared" si="5"/>
        <v>10071281389</v>
      </c>
      <c r="U78" s="53">
        <v>7580773901</v>
      </c>
      <c r="V78" s="80">
        <f t="shared" si="6"/>
        <v>0</v>
      </c>
      <c r="W78" s="53">
        <v>10071281389</v>
      </c>
      <c r="X78" s="70">
        <f t="shared" si="7"/>
        <v>0</v>
      </c>
    </row>
    <row r="79" spans="2:24">
      <c r="B79" t="s">
        <v>338</v>
      </c>
      <c r="C79" s="85" t="s">
        <v>214</v>
      </c>
      <c r="E79" s="53">
        <v>1507533</v>
      </c>
      <c r="F79" s="53"/>
      <c r="G79" s="53">
        <v>32473864084</v>
      </c>
      <c r="H79" s="53"/>
      <c r="I79" s="53">
        <v>-29359261165</v>
      </c>
      <c r="J79" s="53"/>
      <c r="K79" s="53">
        <f t="shared" si="4"/>
        <v>3114602919</v>
      </c>
      <c r="L79" s="53"/>
      <c r="M79" s="53">
        <v>1507533</v>
      </c>
      <c r="N79" s="53"/>
      <c r="O79" s="53">
        <v>32473864084</v>
      </c>
      <c r="P79" s="53"/>
      <c r="Q79" s="53">
        <v>-31062851615</v>
      </c>
      <c r="R79" s="53"/>
      <c r="S79" s="53">
        <f t="shared" si="5"/>
        <v>1411012469</v>
      </c>
      <c r="U79" s="53">
        <v>3114602919</v>
      </c>
      <c r="V79" s="80">
        <f t="shared" si="6"/>
        <v>0</v>
      </c>
      <c r="W79" s="53">
        <v>1411012469</v>
      </c>
      <c r="X79" s="70">
        <f t="shared" si="7"/>
        <v>0</v>
      </c>
    </row>
    <row r="80" spans="2:24">
      <c r="B80" t="s">
        <v>339</v>
      </c>
      <c r="C80" s="85" t="s">
        <v>143</v>
      </c>
      <c r="E80" s="53">
        <v>6413879</v>
      </c>
      <c r="F80" s="53"/>
      <c r="G80" s="53">
        <v>29953115744</v>
      </c>
      <c r="H80" s="53"/>
      <c r="I80" s="53">
        <v>-28321226308</v>
      </c>
      <c r="J80" s="53"/>
      <c r="K80" s="53">
        <f t="shared" si="4"/>
        <v>1631889436</v>
      </c>
      <c r="L80" s="53"/>
      <c r="M80" s="53">
        <v>6413879</v>
      </c>
      <c r="N80" s="53"/>
      <c r="O80" s="53">
        <v>29953115744</v>
      </c>
      <c r="P80" s="53"/>
      <c r="Q80" s="53">
        <v>-26068222979</v>
      </c>
      <c r="R80" s="53"/>
      <c r="S80" s="53">
        <f t="shared" si="5"/>
        <v>3884892765</v>
      </c>
      <c r="U80" s="53">
        <v>1631889436</v>
      </c>
      <c r="V80" s="80">
        <f t="shared" si="6"/>
        <v>0</v>
      </c>
      <c r="W80" s="53">
        <v>3884892765</v>
      </c>
      <c r="X80" s="70">
        <f t="shared" si="7"/>
        <v>0</v>
      </c>
    </row>
    <row r="81" spans="2:24">
      <c r="B81" t="s">
        <v>340</v>
      </c>
      <c r="C81" s="85" t="s">
        <v>227</v>
      </c>
      <c r="E81" s="53">
        <v>1269653</v>
      </c>
      <c r="F81" s="53"/>
      <c r="G81" s="53">
        <v>3459412169</v>
      </c>
      <c r="H81" s="53"/>
      <c r="I81" s="53">
        <v>-3078388481</v>
      </c>
      <c r="J81" s="53"/>
      <c r="K81" s="53">
        <f t="shared" si="4"/>
        <v>381023688</v>
      </c>
      <c r="L81" s="53"/>
      <c r="M81" s="53">
        <v>1269653</v>
      </c>
      <c r="N81" s="53"/>
      <c r="O81" s="53">
        <v>3459412169</v>
      </c>
      <c r="P81" s="53"/>
      <c r="Q81" s="53">
        <v>-2666066635</v>
      </c>
      <c r="R81" s="53"/>
      <c r="S81" s="53">
        <f t="shared" si="5"/>
        <v>793345534</v>
      </c>
      <c r="U81" s="53">
        <v>381023688</v>
      </c>
      <c r="V81" s="80">
        <f t="shared" si="6"/>
        <v>0</v>
      </c>
      <c r="W81" s="53">
        <v>793345534</v>
      </c>
      <c r="X81" s="70">
        <f t="shared" si="7"/>
        <v>0</v>
      </c>
    </row>
    <row r="82" spans="2:24">
      <c r="B82" t="s">
        <v>341</v>
      </c>
      <c r="C82" s="85" t="s">
        <v>207</v>
      </c>
      <c r="E82" s="53">
        <v>5246749</v>
      </c>
      <c r="F82" s="53"/>
      <c r="G82" s="53">
        <v>30771631980</v>
      </c>
      <c r="H82" s="53"/>
      <c r="I82" s="53">
        <v>-27316648767</v>
      </c>
      <c r="J82" s="53"/>
      <c r="K82" s="53">
        <f t="shared" si="4"/>
        <v>3454983213</v>
      </c>
      <c r="L82" s="53"/>
      <c r="M82" s="53">
        <v>5246749</v>
      </c>
      <c r="N82" s="53"/>
      <c r="O82" s="53">
        <v>30771631980</v>
      </c>
      <c r="P82" s="53"/>
      <c r="Q82" s="53">
        <v>-27575541122</v>
      </c>
      <c r="R82" s="53"/>
      <c r="S82" s="53">
        <f t="shared" si="5"/>
        <v>3196090858</v>
      </c>
      <c r="U82" s="53">
        <v>3454983213</v>
      </c>
      <c r="V82" s="80">
        <f t="shared" si="6"/>
        <v>0</v>
      </c>
      <c r="W82" s="53">
        <v>3196090858</v>
      </c>
      <c r="X82" s="70">
        <f t="shared" si="7"/>
        <v>0</v>
      </c>
    </row>
    <row r="83" spans="2:24">
      <c r="B83" t="s">
        <v>342</v>
      </c>
      <c r="C83" s="85" t="s">
        <v>184</v>
      </c>
      <c r="E83" s="53">
        <v>2515322</v>
      </c>
      <c r="F83" s="53"/>
      <c r="G83" s="53">
        <v>22028134902</v>
      </c>
      <c r="H83" s="53"/>
      <c r="I83" s="53">
        <v>-19634311610</v>
      </c>
      <c r="J83" s="53"/>
      <c r="K83" s="53">
        <f t="shared" si="4"/>
        <v>2393823292</v>
      </c>
      <c r="L83" s="53"/>
      <c r="M83" s="53">
        <v>2515322</v>
      </c>
      <c r="N83" s="53"/>
      <c r="O83" s="53">
        <v>22028134902</v>
      </c>
      <c r="P83" s="53"/>
      <c r="Q83" s="53">
        <v>-20493273344</v>
      </c>
      <c r="R83" s="53"/>
      <c r="S83" s="53">
        <f t="shared" si="5"/>
        <v>1534861558</v>
      </c>
      <c r="U83" s="53">
        <v>2393823292</v>
      </c>
      <c r="V83" s="80">
        <f t="shared" si="6"/>
        <v>0</v>
      </c>
      <c r="W83" s="53">
        <v>1534861558</v>
      </c>
      <c r="X83" s="70">
        <f t="shared" si="7"/>
        <v>0</v>
      </c>
    </row>
    <row r="84" spans="2:24">
      <c r="B84" t="s">
        <v>343</v>
      </c>
      <c r="C84" s="85" t="s">
        <v>205</v>
      </c>
      <c r="E84" s="53">
        <v>3976018</v>
      </c>
      <c r="F84" s="53"/>
      <c r="G84" s="53">
        <v>21034463610</v>
      </c>
      <c r="H84" s="53"/>
      <c r="I84" s="53">
        <v>-19355504060</v>
      </c>
      <c r="J84" s="53"/>
      <c r="K84" s="53">
        <f t="shared" si="4"/>
        <v>1678959550</v>
      </c>
      <c r="L84" s="53"/>
      <c r="M84" s="53">
        <v>3976018</v>
      </c>
      <c r="N84" s="53"/>
      <c r="O84" s="53">
        <v>21034463610</v>
      </c>
      <c r="P84" s="53"/>
      <c r="Q84" s="53">
        <v>-18203617720</v>
      </c>
      <c r="R84" s="53"/>
      <c r="S84" s="53">
        <f t="shared" si="5"/>
        <v>2830845890</v>
      </c>
      <c r="U84" s="53">
        <v>1678959550</v>
      </c>
      <c r="V84" s="80">
        <f t="shared" si="6"/>
        <v>0</v>
      </c>
      <c r="W84" s="53">
        <v>2830845890</v>
      </c>
      <c r="X84" s="70">
        <f t="shared" si="7"/>
        <v>0</v>
      </c>
    </row>
    <row r="85" spans="2:24">
      <c r="B85" t="s">
        <v>344</v>
      </c>
      <c r="C85" s="85" t="s">
        <v>158</v>
      </c>
      <c r="E85" s="53">
        <v>1803892</v>
      </c>
      <c r="F85" s="53"/>
      <c r="G85" s="53">
        <v>47124214387</v>
      </c>
      <c r="H85" s="53"/>
      <c r="I85" s="53">
        <v>-38836315442</v>
      </c>
      <c r="J85" s="53"/>
      <c r="K85" s="53">
        <f t="shared" si="4"/>
        <v>8287898945</v>
      </c>
      <c r="L85" s="53"/>
      <c r="M85" s="53">
        <v>1803892</v>
      </c>
      <c r="N85" s="53"/>
      <c r="O85" s="53">
        <v>47124214387</v>
      </c>
      <c r="P85" s="53"/>
      <c r="Q85" s="53">
        <v>-39139855524</v>
      </c>
      <c r="R85" s="53"/>
      <c r="S85" s="53">
        <f t="shared" si="5"/>
        <v>7984358863</v>
      </c>
      <c r="U85" s="53">
        <v>8287898945</v>
      </c>
      <c r="V85" s="80">
        <f t="shared" si="6"/>
        <v>0</v>
      </c>
      <c r="W85" s="53">
        <v>7984358863</v>
      </c>
      <c r="X85" s="70">
        <f t="shared" si="7"/>
        <v>0</v>
      </c>
    </row>
    <row r="86" spans="2:24">
      <c r="B86" t="s">
        <v>345</v>
      </c>
      <c r="C86" s="85" t="s">
        <v>160</v>
      </c>
      <c r="E86" s="53">
        <v>3134765</v>
      </c>
      <c r="F86" s="53"/>
      <c r="G86" s="53">
        <v>19880801888</v>
      </c>
      <c r="H86" s="53"/>
      <c r="I86" s="53">
        <v>-19029326464</v>
      </c>
      <c r="J86" s="53"/>
      <c r="K86" s="53">
        <f t="shared" si="4"/>
        <v>851475424</v>
      </c>
      <c r="L86" s="53"/>
      <c r="M86" s="53">
        <v>3134765</v>
      </c>
      <c r="N86" s="53"/>
      <c r="O86" s="53">
        <v>19880801888</v>
      </c>
      <c r="P86" s="53"/>
      <c r="Q86" s="53">
        <v>-17376823026</v>
      </c>
      <c r="R86" s="53"/>
      <c r="S86" s="53">
        <f t="shared" si="5"/>
        <v>2503978862</v>
      </c>
      <c r="U86" s="53">
        <v>851475424</v>
      </c>
      <c r="V86" s="80">
        <f t="shared" si="6"/>
        <v>0</v>
      </c>
      <c r="W86" s="53">
        <v>2503978862</v>
      </c>
      <c r="X86" s="70">
        <f t="shared" si="7"/>
        <v>0</v>
      </c>
    </row>
    <row r="87" spans="2:24">
      <c r="B87" t="s">
        <v>346</v>
      </c>
      <c r="C87" s="85" t="s">
        <v>123</v>
      </c>
      <c r="E87" s="53">
        <v>3144215</v>
      </c>
      <c r="F87" s="53"/>
      <c r="G87" s="53">
        <v>31348834418</v>
      </c>
      <c r="H87" s="53"/>
      <c r="I87" s="53">
        <v>-24548821955</v>
      </c>
      <c r="J87" s="53"/>
      <c r="K87" s="53">
        <f t="shared" si="4"/>
        <v>6800012463</v>
      </c>
      <c r="L87" s="53"/>
      <c r="M87" s="53">
        <v>3144215</v>
      </c>
      <c r="N87" s="53"/>
      <c r="O87" s="53">
        <v>31348834418</v>
      </c>
      <c r="P87" s="53"/>
      <c r="Q87" s="53">
        <v>-25785594257</v>
      </c>
      <c r="R87" s="53"/>
      <c r="S87" s="53">
        <f t="shared" si="5"/>
        <v>5563240161</v>
      </c>
      <c r="U87" s="53">
        <v>6800012463</v>
      </c>
      <c r="V87" s="80">
        <f t="shared" si="6"/>
        <v>0</v>
      </c>
      <c r="W87" s="53">
        <v>5563240161</v>
      </c>
      <c r="X87" s="70">
        <f t="shared" si="7"/>
        <v>0</v>
      </c>
    </row>
    <row r="88" spans="2:24">
      <c r="B88" t="s">
        <v>347</v>
      </c>
      <c r="C88" s="85" t="s">
        <v>197</v>
      </c>
      <c r="E88" s="53">
        <v>1044846</v>
      </c>
      <c r="F88" s="53"/>
      <c r="G88" s="53">
        <v>18996527454</v>
      </c>
      <c r="H88" s="53"/>
      <c r="I88" s="53">
        <v>-18545727941</v>
      </c>
      <c r="J88" s="53"/>
      <c r="K88" s="53">
        <f t="shared" si="4"/>
        <v>450799513</v>
      </c>
      <c r="L88" s="53"/>
      <c r="M88" s="53">
        <v>1044846</v>
      </c>
      <c r="N88" s="53"/>
      <c r="O88" s="53">
        <v>18996527454</v>
      </c>
      <c r="P88" s="53"/>
      <c r="Q88" s="53">
        <v>-18127441685</v>
      </c>
      <c r="R88" s="53"/>
      <c r="S88" s="53">
        <f t="shared" si="5"/>
        <v>869085769</v>
      </c>
      <c r="U88" s="53">
        <v>450799513</v>
      </c>
      <c r="V88" s="80">
        <f t="shared" si="6"/>
        <v>0</v>
      </c>
      <c r="W88" s="53">
        <v>869085769</v>
      </c>
      <c r="X88" s="70">
        <f t="shared" si="7"/>
        <v>0</v>
      </c>
    </row>
    <row r="89" spans="2:24">
      <c r="B89" t="s">
        <v>348</v>
      </c>
      <c r="C89" s="85" t="s">
        <v>125</v>
      </c>
      <c r="E89" s="53">
        <v>4063186</v>
      </c>
      <c r="F89" s="53"/>
      <c r="G89" s="53">
        <v>50083724539</v>
      </c>
      <c r="H89" s="53"/>
      <c r="I89" s="53">
        <v>-44454943295</v>
      </c>
      <c r="J89" s="53"/>
      <c r="K89" s="53">
        <f t="shared" si="4"/>
        <v>5628781244</v>
      </c>
      <c r="L89" s="53"/>
      <c r="M89" s="53">
        <v>4063186</v>
      </c>
      <c r="N89" s="53"/>
      <c r="O89" s="53">
        <v>50083724539</v>
      </c>
      <c r="P89" s="53"/>
      <c r="Q89" s="53">
        <v>-43233817981</v>
      </c>
      <c r="R89" s="53"/>
      <c r="S89" s="53">
        <f t="shared" si="5"/>
        <v>6849906558</v>
      </c>
      <c r="U89" s="53">
        <v>5628781244</v>
      </c>
      <c r="V89" s="80">
        <f t="shared" si="6"/>
        <v>0</v>
      </c>
      <c r="W89" s="53">
        <v>6849906558</v>
      </c>
      <c r="X89" s="70">
        <f t="shared" si="7"/>
        <v>0</v>
      </c>
    </row>
    <row r="90" spans="2:24">
      <c r="B90" t="s">
        <v>349</v>
      </c>
      <c r="C90" s="85" t="s">
        <v>157</v>
      </c>
      <c r="E90" s="53">
        <v>1109837</v>
      </c>
      <c r="F90" s="53"/>
      <c r="G90" s="53">
        <v>16360952362</v>
      </c>
      <c r="H90" s="53"/>
      <c r="I90" s="53">
        <v>-14374137351</v>
      </c>
      <c r="J90" s="53"/>
      <c r="K90" s="53">
        <f t="shared" si="4"/>
        <v>1986815011</v>
      </c>
      <c r="L90" s="53"/>
      <c r="M90" s="53">
        <v>1109837</v>
      </c>
      <c r="N90" s="53"/>
      <c r="O90" s="53">
        <v>16360952362</v>
      </c>
      <c r="P90" s="53"/>
      <c r="Q90" s="53">
        <v>-15248390477</v>
      </c>
      <c r="R90" s="53"/>
      <c r="S90" s="53">
        <f t="shared" si="5"/>
        <v>1112561885</v>
      </c>
      <c r="U90" s="53">
        <v>1986815011</v>
      </c>
      <c r="V90" s="80">
        <f t="shared" si="6"/>
        <v>0</v>
      </c>
      <c r="W90" s="53">
        <v>1112561885</v>
      </c>
      <c r="X90" s="70">
        <f t="shared" si="7"/>
        <v>0</v>
      </c>
    </row>
    <row r="91" spans="2:24">
      <c r="B91" t="s">
        <v>350</v>
      </c>
      <c r="C91" s="250" t="s">
        <v>156</v>
      </c>
      <c r="E91" s="53">
        <v>4057595</v>
      </c>
      <c r="F91" s="53"/>
      <c r="G91" s="53">
        <v>75546561765</v>
      </c>
      <c r="H91" s="53"/>
      <c r="I91" s="53">
        <v>-73119672402</v>
      </c>
      <c r="J91" s="53"/>
      <c r="K91" s="53">
        <f t="shared" si="4"/>
        <v>2426889363</v>
      </c>
      <c r="L91" s="53"/>
      <c r="M91" s="53">
        <v>4057595</v>
      </c>
      <c r="N91" s="53"/>
      <c r="O91" s="53">
        <v>75546561765</v>
      </c>
      <c r="P91" s="53"/>
      <c r="Q91" s="53">
        <v>-65005689842</v>
      </c>
      <c r="R91" s="53"/>
      <c r="S91" s="53">
        <f t="shared" si="5"/>
        <v>10540871923</v>
      </c>
      <c r="U91" s="53">
        <v>2426889363</v>
      </c>
      <c r="V91" s="80">
        <f t="shared" si="6"/>
        <v>0</v>
      </c>
      <c r="W91" s="53">
        <v>10540871923</v>
      </c>
      <c r="X91" s="70">
        <f t="shared" si="7"/>
        <v>0</v>
      </c>
    </row>
    <row r="92" spans="2:24">
      <c r="B92" t="s">
        <v>506</v>
      </c>
      <c r="C92" s="85" t="s">
        <v>487</v>
      </c>
      <c r="E92" s="53">
        <v>2637269</v>
      </c>
      <c r="F92" s="53"/>
      <c r="G92" s="53">
        <v>12583570800</v>
      </c>
      <c r="H92" s="53"/>
      <c r="I92" s="53">
        <v>-11849191847</v>
      </c>
      <c r="J92" s="53"/>
      <c r="K92" s="53">
        <f t="shared" si="4"/>
        <v>734378953</v>
      </c>
      <c r="L92" s="53"/>
      <c r="M92" s="53">
        <v>2637269</v>
      </c>
      <c r="N92" s="53"/>
      <c r="O92" s="53">
        <v>12583570800</v>
      </c>
      <c r="P92" s="53"/>
      <c r="Q92" s="53">
        <v>-11849191847</v>
      </c>
      <c r="R92" s="53"/>
      <c r="S92" s="53">
        <f t="shared" si="5"/>
        <v>734378953</v>
      </c>
      <c r="U92" s="53">
        <v>734378953</v>
      </c>
      <c r="V92" s="80">
        <f t="shared" si="6"/>
        <v>0</v>
      </c>
      <c r="W92" s="53">
        <v>734378953</v>
      </c>
      <c r="X92" s="70">
        <f t="shared" si="7"/>
        <v>0</v>
      </c>
    </row>
    <row r="93" spans="2:24">
      <c r="B93" t="s">
        <v>351</v>
      </c>
      <c r="C93" s="85" t="s">
        <v>134</v>
      </c>
      <c r="E93" s="53">
        <v>3634400</v>
      </c>
      <c r="F93" s="53"/>
      <c r="G93" s="53">
        <v>25397810504</v>
      </c>
      <c r="H93" s="53"/>
      <c r="I93" s="53">
        <v>-22322600105</v>
      </c>
      <c r="J93" s="53"/>
      <c r="K93" s="53">
        <f t="shared" si="4"/>
        <v>3075210399</v>
      </c>
      <c r="L93" s="53"/>
      <c r="M93" s="53">
        <v>3634400</v>
      </c>
      <c r="N93" s="53"/>
      <c r="O93" s="53">
        <v>25397810504</v>
      </c>
      <c r="P93" s="53"/>
      <c r="Q93" s="53">
        <f>-(19454686275+41891)</f>
        <v>-19454728166</v>
      </c>
      <c r="R93" s="53"/>
      <c r="S93" s="53">
        <f t="shared" si="5"/>
        <v>5943082338</v>
      </c>
      <c r="U93" s="53">
        <v>3075210399</v>
      </c>
      <c r="V93" s="80">
        <f t="shared" si="6"/>
        <v>0</v>
      </c>
      <c r="W93" s="53">
        <v>5943124229</v>
      </c>
      <c r="X93" s="70">
        <f t="shared" si="7"/>
        <v>-41891</v>
      </c>
    </row>
    <row r="94" spans="2:24">
      <c r="B94" t="s">
        <v>352</v>
      </c>
      <c r="C94" s="85" t="s">
        <v>263</v>
      </c>
      <c r="E94" s="53">
        <v>483905</v>
      </c>
      <c r="F94" s="53"/>
      <c r="G94" s="53">
        <v>2179046720</v>
      </c>
      <c r="H94" s="53"/>
      <c r="I94" s="53">
        <v>-2023790806</v>
      </c>
      <c r="J94" s="53"/>
      <c r="K94" s="53">
        <f t="shared" si="4"/>
        <v>155255914</v>
      </c>
      <c r="L94" s="53"/>
      <c r="M94" s="53">
        <v>483905</v>
      </c>
      <c r="N94" s="53"/>
      <c r="O94" s="53">
        <v>2179046720</v>
      </c>
      <c r="P94" s="53"/>
      <c r="Q94" s="53">
        <v>-1510535111</v>
      </c>
      <c r="R94" s="53"/>
      <c r="S94" s="53">
        <f t="shared" si="5"/>
        <v>668511609</v>
      </c>
      <c r="U94" s="53">
        <v>155255914</v>
      </c>
      <c r="V94" s="80">
        <f t="shared" si="6"/>
        <v>0</v>
      </c>
      <c r="W94" s="53">
        <v>668511609</v>
      </c>
      <c r="X94" s="70">
        <f t="shared" si="7"/>
        <v>0</v>
      </c>
    </row>
    <row r="95" spans="2:24">
      <c r="B95" t="s">
        <v>353</v>
      </c>
      <c r="C95" s="85" t="s">
        <v>121</v>
      </c>
      <c r="E95" s="53">
        <v>2462784</v>
      </c>
      <c r="F95" s="53"/>
      <c r="G95" s="53">
        <v>32804947834</v>
      </c>
      <c r="H95" s="53"/>
      <c r="I95" s="53">
        <v>-30743613008</v>
      </c>
      <c r="J95" s="53"/>
      <c r="K95" s="53">
        <f t="shared" si="4"/>
        <v>2061334826</v>
      </c>
      <c r="L95" s="53"/>
      <c r="M95" s="53">
        <v>2462784</v>
      </c>
      <c r="N95" s="53"/>
      <c r="O95" s="53">
        <v>32804947834</v>
      </c>
      <c r="P95" s="53"/>
      <c r="Q95" s="53">
        <v>-31210732958</v>
      </c>
      <c r="R95" s="53"/>
      <c r="S95" s="53">
        <f t="shared" si="5"/>
        <v>1594214876</v>
      </c>
      <c r="U95" s="53">
        <v>2061334826</v>
      </c>
      <c r="V95" s="80">
        <f t="shared" si="6"/>
        <v>0</v>
      </c>
      <c r="W95" s="53">
        <v>1594214876</v>
      </c>
      <c r="X95" s="70">
        <f t="shared" si="7"/>
        <v>0</v>
      </c>
    </row>
    <row r="96" spans="2:24">
      <c r="B96" t="s">
        <v>451</v>
      </c>
      <c r="C96" s="85" t="s">
        <v>276</v>
      </c>
      <c r="E96" s="53">
        <v>246131</v>
      </c>
      <c r="F96" s="53"/>
      <c r="G96" s="53">
        <v>2409965232</v>
      </c>
      <c r="H96" s="53"/>
      <c r="I96" s="53">
        <v>-2409965232</v>
      </c>
      <c r="J96" s="53"/>
      <c r="K96" s="53">
        <f t="shared" si="4"/>
        <v>0</v>
      </c>
      <c r="L96" s="53"/>
      <c r="M96" s="53">
        <v>246131</v>
      </c>
      <c r="N96" s="53"/>
      <c r="O96" s="53">
        <v>2409965232</v>
      </c>
      <c r="P96" s="53"/>
      <c r="Q96" s="53">
        <v>-3008269775</v>
      </c>
      <c r="R96" s="53"/>
      <c r="S96" s="53">
        <f t="shared" si="5"/>
        <v>-598304543</v>
      </c>
      <c r="U96" s="53">
        <v>0</v>
      </c>
      <c r="V96" s="80">
        <f t="shared" si="6"/>
        <v>0</v>
      </c>
      <c r="W96" s="53">
        <v>-598304543</v>
      </c>
      <c r="X96" s="70">
        <f t="shared" si="7"/>
        <v>0</v>
      </c>
    </row>
    <row r="97" spans="2:24">
      <c r="B97" t="s">
        <v>354</v>
      </c>
      <c r="C97" s="85" t="s">
        <v>264</v>
      </c>
      <c r="E97" s="53">
        <v>775541</v>
      </c>
      <c r="F97" s="53"/>
      <c r="G97" s="53">
        <v>21269862995</v>
      </c>
      <c r="H97" s="53"/>
      <c r="I97" s="53">
        <v>-19763089856</v>
      </c>
      <c r="J97" s="53"/>
      <c r="K97" s="53">
        <f t="shared" si="4"/>
        <v>1506773139</v>
      </c>
      <c r="L97" s="53"/>
      <c r="M97" s="53">
        <v>775541</v>
      </c>
      <c r="N97" s="53"/>
      <c r="O97" s="53">
        <v>21269862995</v>
      </c>
      <c r="P97" s="53"/>
      <c r="Q97" s="53">
        <v>-19819942061</v>
      </c>
      <c r="R97" s="53"/>
      <c r="S97" s="53">
        <f t="shared" si="5"/>
        <v>1449920934</v>
      </c>
      <c r="U97" s="53">
        <v>1506773139</v>
      </c>
      <c r="V97" s="80">
        <f t="shared" si="6"/>
        <v>0</v>
      </c>
      <c r="W97" s="53">
        <v>1449920934</v>
      </c>
      <c r="X97" s="70">
        <f t="shared" si="7"/>
        <v>0</v>
      </c>
    </row>
    <row r="98" spans="2:24">
      <c r="B98" t="s">
        <v>355</v>
      </c>
      <c r="C98" s="85" t="s">
        <v>122</v>
      </c>
      <c r="E98" s="53">
        <v>1304018</v>
      </c>
      <c r="F98" s="53"/>
      <c r="G98" s="53">
        <v>13144067205</v>
      </c>
      <c r="H98" s="53"/>
      <c r="I98" s="53">
        <v>-10378944100</v>
      </c>
      <c r="J98" s="53"/>
      <c r="K98" s="53">
        <f t="shared" si="4"/>
        <v>2765123105</v>
      </c>
      <c r="L98" s="53"/>
      <c r="M98" s="53">
        <v>1304018</v>
      </c>
      <c r="N98" s="53"/>
      <c r="O98" s="53">
        <v>13144067205</v>
      </c>
      <c r="P98" s="53"/>
      <c r="Q98" s="53">
        <v>-9701842321</v>
      </c>
      <c r="R98" s="53"/>
      <c r="S98" s="53">
        <f t="shared" si="5"/>
        <v>3442224884</v>
      </c>
      <c r="U98" s="53">
        <v>2765123105</v>
      </c>
      <c r="V98" s="80">
        <f t="shared" si="6"/>
        <v>0</v>
      </c>
      <c r="W98" s="53">
        <v>3442224884</v>
      </c>
      <c r="X98" s="70">
        <f t="shared" si="7"/>
        <v>0</v>
      </c>
    </row>
    <row r="99" spans="2:24">
      <c r="B99" t="s">
        <v>714</v>
      </c>
      <c r="C99" s="85" t="s">
        <v>540</v>
      </c>
      <c r="E99" s="53">
        <v>157</v>
      </c>
      <c r="F99" s="53"/>
      <c r="G99" s="53">
        <v>1560660</v>
      </c>
      <c r="H99" s="53"/>
      <c r="I99" s="53">
        <v>-1571455</v>
      </c>
      <c r="J99" s="53"/>
      <c r="K99" s="53">
        <f t="shared" si="4"/>
        <v>-10795</v>
      </c>
      <c r="L99" s="53"/>
      <c r="M99" s="53">
        <v>157</v>
      </c>
      <c r="N99" s="53"/>
      <c r="O99" s="53">
        <v>1560660</v>
      </c>
      <c r="P99" s="53"/>
      <c r="Q99" s="53">
        <v>-1571455</v>
      </c>
      <c r="R99" s="53"/>
      <c r="S99" s="53">
        <f t="shared" si="5"/>
        <v>-10795</v>
      </c>
      <c r="U99" s="53">
        <v>-10795</v>
      </c>
      <c r="V99" s="80">
        <f t="shared" si="6"/>
        <v>0</v>
      </c>
      <c r="W99" s="53">
        <v>-10795</v>
      </c>
      <c r="X99" s="70">
        <f t="shared" si="7"/>
        <v>0</v>
      </c>
    </row>
    <row r="100" spans="2:24">
      <c r="B100" t="s">
        <v>715</v>
      </c>
      <c r="C100" s="85" t="s">
        <v>517</v>
      </c>
      <c r="E100" s="53">
        <v>4907406</v>
      </c>
      <c r="F100" s="53"/>
      <c r="G100" s="53">
        <v>69514448816</v>
      </c>
      <c r="H100" s="53"/>
      <c r="I100" s="53">
        <v>-70772975299</v>
      </c>
      <c r="J100" s="53"/>
      <c r="K100" s="53">
        <f t="shared" si="4"/>
        <v>-1258526483</v>
      </c>
      <c r="L100" s="53"/>
      <c r="M100" s="53">
        <v>4907406</v>
      </c>
      <c r="N100" s="53"/>
      <c r="O100" s="53">
        <v>69514448816</v>
      </c>
      <c r="P100" s="53"/>
      <c r="Q100" s="53">
        <v>-70250274348</v>
      </c>
      <c r="R100" s="53"/>
      <c r="S100" s="53">
        <f t="shared" si="5"/>
        <v>-735825532</v>
      </c>
      <c r="U100" s="53">
        <v>-1258526483</v>
      </c>
      <c r="V100" s="80">
        <f t="shared" si="6"/>
        <v>0</v>
      </c>
      <c r="W100" s="53">
        <v>-735825532</v>
      </c>
      <c r="X100" s="70">
        <f t="shared" si="7"/>
        <v>0</v>
      </c>
    </row>
    <row r="101" spans="2:24">
      <c r="B101" t="s">
        <v>358</v>
      </c>
      <c r="C101" s="85" t="s">
        <v>141</v>
      </c>
      <c r="E101" s="53">
        <v>260475</v>
      </c>
      <c r="F101" s="53"/>
      <c r="G101" s="53">
        <v>9075327344</v>
      </c>
      <c r="H101" s="53"/>
      <c r="I101" s="53">
        <v>-8122131103</v>
      </c>
      <c r="J101" s="53"/>
      <c r="K101" s="53">
        <f t="shared" si="4"/>
        <v>953196241</v>
      </c>
      <c r="L101" s="53"/>
      <c r="M101" s="53">
        <v>260475</v>
      </c>
      <c r="N101" s="53"/>
      <c r="O101" s="53">
        <v>9075327344</v>
      </c>
      <c r="P101" s="53"/>
      <c r="Q101" s="53">
        <v>-8729199579</v>
      </c>
      <c r="R101" s="53"/>
      <c r="S101" s="53">
        <f t="shared" si="5"/>
        <v>346127765</v>
      </c>
      <c r="U101" s="53">
        <v>953196241</v>
      </c>
      <c r="V101" s="80">
        <f t="shared" si="6"/>
        <v>0</v>
      </c>
      <c r="W101" s="53">
        <v>346127765</v>
      </c>
      <c r="X101" s="70">
        <f t="shared" si="7"/>
        <v>0</v>
      </c>
    </row>
    <row r="102" spans="2:24">
      <c r="B102" t="s">
        <v>359</v>
      </c>
      <c r="C102" s="85" t="s">
        <v>199</v>
      </c>
      <c r="E102" s="53">
        <v>171334</v>
      </c>
      <c r="F102" s="53"/>
      <c r="G102" s="53">
        <v>12041239586</v>
      </c>
      <c r="H102" s="53"/>
      <c r="I102" s="53">
        <v>-10992072139</v>
      </c>
      <c r="J102" s="53"/>
      <c r="K102" s="53">
        <f t="shared" si="4"/>
        <v>1049167447</v>
      </c>
      <c r="L102" s="53"/>
      <c r="M102" s="53">
        <v>171334</v>
      </c>
      <c r="N102" s="53"/>
      <c r="O102" s="53">
        <v>12041239586</v>
      </c>
      <c r="P102" s="53"/>
      <c r="Q102" s="53">
        <v>-10433993613</v>
      </c>
      <c r="R102" s="53"/>
      <c r="S102" s="53">
        <f t="shared" si="5"/>
        <v>1607245973</v>
      </c>
      <c r="U102" s="53">
        <v>1049167447</v>
      </c>
      <c r="V102" s="80">
        <f t="shared" si="6"/>
        <v>0</v>
      </c>
      <c r="W102" s="53">
        <v>1607245973</v>
      </c>
      <c r="X102" s="70">
        <f t="shared" si="7"/>
        <v>0</v>
      </c>
    </row>
    <row r="103" spans="2:24">
      <c r="B103" t="s">
        <v>360</v>
      </c>
      <c r="C103" s="85" t="s">
        <v>215</v>
      </c>
      <c r="E103" s="53">
        <v>810720</v>
      </c>
      <c r="F103" s="53"/>
      <c r="G103" s="53">
        <v>26296393532</v>
      </c>
      <c r="H103" s="53"/>
      <c r="I103" s="53">
        <v>-25004093372</v>
      </c>
      <c r="J103" s="53"/>
      <c r="K103" s="53">
        <f t="shared" si="4"/>
        <v>1292300160</v>
      </c>
      <c r="L103" s="53"/>
      <c r="M103" s="53">
        <v>810720</v>
      </c>
      <c r="N103" s="53"/>
      <c r="O103" s="53">
        <v>26296393532</v>
      </c>
      <c r="P103" s="53"/>
      <c r="Q103" s="53">
        <v>-21104258116</v>
      </c>
      <c r="R103" s="53"/>
      <c r="S103" s="53">
        <f t="shared" si="5"/>
        <v>5192135416</v>
      </c>
      <c r="U103" s="53">
        <v>1292300160</v>
      </c>
      <c r="V103" s="80">
        <f t="shared" si="6"/>
        <v>0</v>
      </c>
      <c r="W103" s="53">
        <v>5192135416</v>
      </c>
      <c r="X103" s="70">
        <f t="shared" si="7"/>
        <v>0</v>
      </c>
    </row>
    <row r="104" spans="2:24">
      <c r="B104" t="s">
        <v>362</v>
      </c>
      <c r="C104" s="85" t="s">
        <v>104</v>
      </c>
      <c r="E104" s="53">
        <v>2555873</v>
      </c>
      <c r="F104" s="53"/>
      <c r="G104" s="53">
        <v>61865206283</v>
      </c>
      <c r="H104" s="53"/>
      <c r="I104" s="53">
        <v>-56881630498</v>
      </c>
      <c r="J104" s="53"/>
      <c r="K104" s="53">
        <f t="shared" si="4"/>
        <v>4983575785</v>
      </c>
      <c r="L104" s="53"/>
      <c r="M104" s="53">
        <v>2555873</v>
      </c>
      <c r="N104" s="53"/>
      <c r="O104" s="53">
        <v>61865206283</v>
      </c>
      <c r="P104" s="53"/>
      <c r="Q104" s="53">
        <v>-57537427024</v>
      </c>
      <c r="R104" s="53"/>
      <c r="S104" s="53">
        <f t="shared" si="5"/>
        <v>4327779259</v>
      </c>
      <c r="U104" s="53">
        <v>4983575785</v>
      </c>
      <c r="V104" s="80">
        <f t="shared" si="6"/>
        <v>0</v>
      </c>
      <c r="W104" s="53">
        <v>4327779259</v>
      </c>
      <c r="X104" s="70">
        <f t="shared" si="7"/>
        <v>0</v>
      </c>
    </row>
    <row r="105" spans="2:24">
      <c r="B105" t="s">
        <v>364</v>
      </c>
      <c r="C105" s="85" t="s">
        <v>106</v>
      </c>
      <c r="E105" s="53">
        <v>1124123</v>
      </c>
      <c r="F105" s="53"/>
      <c r="G105" s="53">
        <v>24036015413</v>
      </c>
      <c r="H105" s="53"/>
      <c r="I105" s="53">
        <v>-22324711171</v>
      </c>
      <c r="J105" s="53"/>
      <c r="K105" s="53">
        <f t="shared" si="4"/>
        <v>1711304242</v>
      </c>
      <c r="L105" s="53"/>
      <c r="M105" s="53">
        <v>1124123</v>
      </c>
      <c r="N105" s="53"/>
      <c r="O105" s="53">
        <v>24036015413</v>
      </c>
      <c r="P105" s="53"/>
      <c r="Q105" s="53">
        <v>-20904397172</v>
      </c>
      <c r="R105" s="53"/>
      <c r="S105" s="53">
        <f t="shared" si="5"/>
        <v>3131618241</v>
      </c>
      <c r="U105" s="53">
        <v>1711304242</v>
      </c>
      <c r="V105" s="80">
        <f t="shared" si="6"/>
        <v>0</v>
      </c>
      <c r="W105" s="53">
        <v>3131618241</v>
      </c>
      <c r="X105" s="70">
        <f t="shared" si="7"/>
        <v>0</v>
      </c>
    </row>
    <row r="106" spans="2:24">
      <c r="B106" t="s">
        <v>365</v>
      </c>
      <c r="C106" s="85" t="s">
        <v>187</v>
      </c>
      <c r="E106" s="53">
        <v>4614601</v>
      </c>
      <c r="F106" s="53"/>
      <c r="G106" s="53">
        <v>76100721023</v>
      </c>
      <c r="H106" s="53"/>
      <c r="I106" s="53">
        <v>-73749689287</v>
      </c>
      <c r="J106" s="53"/>
      <c r="K106" s="53">
        <f t="shared" si="4"/>
        <v>2351031736</v>
      </c>
      <c r="L106" s="53"/>
      <c r="M106" s="53">
        <v>4614601</v>
      </c>
      <c r="N106" s="53"/>
      <c r="O106" s="53">
        <v>76100721023</v>
      </c>
      <c r="P106" s="53"/>
      <c r="Q106" s="53">
        <v>-69131536850</v>
      </c>
      <c r="R106" s="53"/>
      <c r="S106" s="53">
        <f t="shared" si="5"/>
        <v>6969184173</v>
      </c>
      <c r="U106" s="53">
        <v>2351031736</v>
      </c>
      <c r="V106" s="80">
        <f t="shared" si="6"/>
        <v>0</v>
      </c>
      <c r="W106" s="53">
        <v>6969184173</v>
      </c>
      <c r="X106" s="70">
        <f t="shared" si="7"/>
        <v>0</v>
      </c>
    </row>
    <row r="107" spans="2:24">
      <c r="B107" t="s">
        <v>366</v>
      </c>
      <c r="C107" s="85" t="s">
        <v>189</v>
      </c>
      <c r="E107" s="53">
        <v>342063</v>
      </c>
      <c r="F107" s="53"/>
      <c r="G107" s="53">
        <v>13441295978</v>
      </c>
      <c r="H107" s="53"/>
      <c r="I107" s="53">
        <v>-12365834617</v>
      </c>
      <c r="J107" s="53"/>
      <c r="K107" s="53">
        <f t="shared" si="4"/>
        <v>1075461361</v>
      </c>
      <c r="L107" s="53"/>
      <c r="M107" s="53">
        <v>342063</v>
      </c>
      <c r="N107" s="53"/>
      <c r="O107" s="53">
        <v>13441295978</v>
      </c>
      <c r="P107" s="53"/>
      <c r="Q107" s="53">
        <v>-10280439535</v>
      </c>
      <c r="R107" s="53"/>
      <c r="S107" s="53">
        <f t="shared" si="5"/>
        <v>3160856443</v>
      </c>
      <c r="U107" s="53">
        <v>1075461361</v>
      </c>
      <c r="V107" s="80">
        <f t="shared" si="6"/>
        <v>0</v>
      </c>
      <c r="W107" s="53">
        <v>3160856443</v>
      </c>
      <c r="X107" s="70">
        <f t="shared" si="7"/>
        <v>0</v>
      </c>
    </row>
    <row r="108" spans="2:24">
      <c r="B108" t="s">
        <v>507</v>
      </c>
      <c r="C108" s="85" t="s">
        <v>488</v>
      </c>
      <c r="E108" s="53">
        <v>746276</v>
      </c>
      <c r="F108" s="53"/>
      <c r="G108" s="53">
        <v>20274368531</v>
      </c>
      <c r="H108" s="53"/>
      <c r="I108" s="53">
        <v>-18173638389</v>
      </c>
      <c r="J108" s="53"/>
      <c r="K108" s="53">
        <f t="shared" si="4"/>
        <v>2100730142</v>
      </c>
      <c r="L108" s="53"/>
      <c r="M108" s="53">
        <v>746276</v>
      </c>
      <c r="N108" s="53"/>
      <c r="O108" s="53">
        <v>20274368531</v>
      </c>
      <c r="P108" s="53"/>
      <c r="Q108" s="53">
        <v>-17460546370</v>
      </c>
      <c r="R108" s="53"/>
      <c r="S108" s="53">
        <f t="shared" si="5"/>
        <v>2813822161</v>
      </c>
      <c r="U108" s="53">
        <v>2100730142</v>
      </c>
      <c r="V108" s="80">
        <f t="shared" si="6"/>
        <v>0</v>
      </c>
      <c r="W108" s="53">
        <v>2813822161</v>
      </c>
      <c r="X108" s="70">
        <f t="shared" si="7"/>
        <v>0</v>
      </c>
    </row>
    <row r="109" spans="2:24">
      <c r="B109" t="s">
        <v>508</v>
      </c>
      <c r="C109" s="85" t="s">
        <v>489</v>
      </c>
      <c r="E109" s="53">
        <v>623239</v>
      </c>
      <c r="F109" s="53"/>
      <c r="G109" s="53">
        <v>9949663495</v>
      </c>
      <c r="H109" s="53"/>
      <c r="I109" s="53">
        <v>-9230410425</v>
      </c>
      <c r="J109" s="53"/>
      <c r="K109" s="53">
        <f t="shared" si="4"/>
        <v>719253070</v>
      </c>
      <c r="L109" s="53"/>
      <c r="M109" s="53">
        <v>623239</v>
      </c>
      <c r="N109" s="53"/>
      <c r="O109" s="53">
        <v>9949663495</v>
      </c>
      <c r="P109" s="53"/>
      <c r="Q109" s="53">
        <v>-8759055064</v>
      </c>
      <c r="R109" s="53"/>
      <c r="S109" s="53">
        <f t="shared" si="5"/>
        <v>1190608431</v>
      </c>
      <c r="U109" s="53">
        <v>719253070</v>
      </c>
      <c r="V109" s="80">
        <f t="shared" si="6"/>
        <v>0</v>
      </c>
      <c r="W109" s="53">
        <v>1190608431</v>
      </c>
      <c r="X109" s="70">
        <f t="shared" si="7"/>
        <v>0</v>
      </c>
    </row>
    <row r="110" spans="2:24">
      <c r="B110" t="s">
        <v>367</v>
      </c>
      <c r="C110" s="85" t="s">
        <v>218</v>
      </c>
      <c r="E110" s="53">
        <v>2189391</v>
      </c>
      <c r="F110" s="53"/>
      <c r="G110" s="53">
        <v>15822167181</v>
      </c>
      <c r="H110" s="53"/>
      <c r="I110" s="53">
        <v>-13355570766</v>
      </c>
      <c r="J110" s="53"/>
      <c r="K110" s="53">
        <f t="shared" si="4"/>
        <v>2466596415</v>
      </c>
      <c r="L110" s="53"/>
      <c r="M110" s="53">
        <v>2189391</v>
      </c>
      <c r="N110" s="53"/>
      <c r="O110" s="53">
        <v>15822167181</v>
      </c>
      <c r="P110" s="53"/>
      <c r="Q110" s="53">
        <v>-12484293271</v>
      </c>
      <c r="R110" s="53"/>
      <c r="S110" s="53">
        <f t="shared" si="5"/>
        <v>3337873910</v>
      </c>
      <c r="U110" s="53">
        <v>2466596415</v>
      </c>
      <c r="V110" s="80">
        <f t="shared" si="6"/>
        <v>0</v>
      </c>
      <c r="W110" s="53">
        <v>3337873910</v>
      </c>
      <c r="X110" s="70">
        <f t="shared" si="7"/>
        <v>0</v>
      </c>
    </row>
    <row r="111" spans="2:24">
      <c r="B111" t="s">
        <v>509</v>
      </c>
      <c r="C111" s="85" t="s">
        <v>490</v>
      </c>
      <c r="E111" s="53">
        <v>5190013</v>
      </c>
      <c r="F111" s="53"/>
      <c r="G111" s="53">
        <v>13527245216</v>
      </c>
      <c r="H111" s="53"/>
      <c r="I111" s="53">
        <v>-9375692186</v>
      </c>
      <c r="J111" s="53"/>
      <c r="K111" s="53">
        <f t="shared" si="4"/>
        <v>4151553030</v>
      </c>
      <c r="L111" s="53"/>
      <c r="M111" s="53">
        <v>5190013</v>
      </c>
      <c r="N111" s="53"/>
      <c r="O111" s="53">
        <v>13527245216</v>
      </c>
      <c r="P111" s="53"/>
      <c r="Q111" s="53">
        <v>-8580172227</v>
      </c>
      <c r="R111" s="53"/>
      <c r="S111" s="53">
        <f t="shared" si="5"/>
        <v>4947072989</v>
      </c>
      <c r="U111" s="53">
        <v>4151553030</v>
      </c>
      <c r="V111" s="80">
        <f t="shared" si="6"/>
        <v>0</v>
      </c>
      <c r="W111" s="53">
        <v>4947072989</v>
      </c>
      <c r="X111" s="70">
        <f t="shared" si="7"/>
        <v>0</v>
      </c>
    </row>
    <row r="112" spans="2:24">
      <c r="B112" t="s">
        <v>368</v>
      </c>
      <c r="C112" s="85" t="s">
        <v>256</v>
      </c>
      <c r="E112" s="53">
        <v>6947315</v>
      </c>
      <c r="F112" s="53"/>
      <c r="G112" s="53">
        <v>10773326426</v>
      </c>
      <c r="H112" s="53"/>
      <c r="I112" s="53">
        <v>-10389916147</v>
      </c>
      <c r="J112" s="53"/>
      <c r="K112" s="53">
        <f t="shared" si="4"/>
        <v>383410279</v>
      </c>
      <c r="L112" s="53"/>
      <c r="M112" s="53">
        <v>6947315</v>
      </c>
      <c r="N112" s="53"/>
      <c r="O112" s="53">
        <v>10773326426</v>
      </c>
      <c r="P112" s="53"/>
      <c r="Q112" s="53">
        <v>-10059947894</v>
      </c>
      <c r="R112" s="53"/>
      <c r="S112" s="53">
        <f t="shared" si="5"/>
        <v>713378532</v>
      </c>
      <c r="U112" s="53">
        <v>383410279</v>
      </c>
      <c r="V112" s="80">
        <f t="shared" si="6"/>
        <v>0</v>
      </c>
      <c r="W112" s="53">
        <v>713378532</v>
      </c>
      <c r="X112" s="70">
        <f t="shared" si="7"/>
        <v>0</v>
      </c>
    </row>
    <row r="113" spans="2:24">
      <c r="B113" t="s">
        <v>369</v>
      </c>
      <c r="C113" s="85" t="s">
        <v>220</v>
      </c>
      <c r="E113" s="53">
        <v>1438159</v>
      </c>
      <c r="F113" s="53"/>
      <c r="G113" s="53">
        <v>15997245870</v>
      </c>
      <c r="H113" s="53"/>
      <c r="I113" s="53">
        <v>-15313254196</v>
      </c>
      <c r="J113" s="53"/>
      <c r="K113" s="53">
        <f t="shared" si="4"/>
        <v>683991674</v>
      </c>
      <c r="L113" s="53"/>
      <c r="M113" s="53">
        <v>1438159</v>
      </c>
      <c r="N113" s="53"/>
      <c r="O113" s="53">
        <v>15997245870</v>
      </c>
      <c r="P113" s="53"/>
      <c r="Q113" s="53">
        <v>-15948233887</v>
      </c>
      <c r="R113" s="53"/>
      <c r="S113" s="53">
        <f t="shared" si="5"/>
        <v>49011983</v>
      </c>
      <c r="U113" s="53">
        <v>683991674</v>
      </c>
      <c r="V113" s="80">
        <f t="shared" si="6"/>
        <v>0</v>
      </c>
      <c r="W113" s="53">
        <v>49011983</v>
      </c>
      <c r="X113" s="70">
        <f t="shared" si="7"/>
        <v>0</v>
      </c>
    </row>
    <row r="114" spans="2:24">
      <c r="B114" t="s">
        <v>370</v>
      </c>
      <c r="C114" s="85" t="s">
        <v>198</v>
      </c>
      <c r="E114" s="53">
        <v>1075158</v>
      </c>
      <c r="F114" s="53"/>
      <c r="G114" s="53">
        <v>26173952238</v>
      </c>
      <c r="H114" s="53"/>
      <c r="I114" s="53">
        <v>-17694319735</v>
      </c>
      <c r="J114" s="53"/>
      <c r="K114" s="53">
        <f t="shared" si="4"/>
        <v>8479632503</v>
      </c>
      <c r="L114" s="53"/>
      <c r="M114" s="53">
        <v>1075158</v>
      </c>
      <c r="N114" s="53"/>
      <c r="O114" s="53">
        <v>26173952238</v>
      </c>
      <c r="P114" s="53"/>
      <c r="Q114" s="53">
        <f>-(15037827466+22135)</f>
        <v>-15037849601</v>
      </c>
      <c r="R114" s="53"/>
      <c r="S114" s="53">
        <f t="shared" si="5"/>
        <v>11136102637</v>
      </c>
      <c r="U114" s="53">
        <v>8479632503</v>
      </c>
      <c r="V114" s="80">
        <f t="shared" si="6"/>
        <v>0</v>
      </c>
      <c r="W114" s="53">
        <v>11136124772</v>
      </c>
      <c r="X114" s="70">
        <f t="shared" si="7"/>
        <v>-22135</v>
      </c>
    </row>
    <row r="115" spans="2:24">
      <c r="B115" t="s">
        <v>371</v>
      </c>
      <c r="C115" s="85" t="s">
        <v>164</v>
      </c>
      <c r="E115" s="53">
        <v>544702</v>
      </c>
      <c r="F115" s="53"/>
      <c r="G115" s="53">
        <v>33722192522</v>
      </c>
      <c r="H115" s="53"/>
      <c r="I115" s="53">
        <v>-33484308987</v>
      </c>
      <c r="J115" s="53"/>
      <c r="K115" s="53">
        <f t="shared" si="4"/>
        <v>237883535</v>
      </c>
      <c r="L115" s="53"/>
      <c r="M115" s="53">
        <v>544702</v>
      </c>
      <c r="N115" s="53"/>
      <c r="O115" s="53">
        <v>33722192522</v>
      </c>
      <c r="P115" s="53"/>
      <c r="Q115" s="53">
        <v>-32994280052</v>
      </c>
      <c r="R115" s="53"/>
      <c r="S115" s="53">
        <f t="shared" si="5"/>
        <v>727912470</v>
      </c>
      <c r="U115" s="53">
        <v>237883535</v>
      </c>
      <c r="V115" s="80">
        <f t="shared" si="6"/>
        <v>0</v>
      </c>
      <c r="W115" s="53">
        <v>727912470</v>
      </c>
      <c r="X115" s="70">
        <f t="shared" si="7"/>
        <v>0</v>
      </c>
    </row>
    <row r="116" spans="2:24">
      <c r="B116" t="s">
        <v>372</v>
      </c>
      <c r="C116" s="85" t="s">
        <v>169</v>
      </c>
      <c r="E116" s="53">
        <v>6939032</v>
      </c>
      <c r="F116" s="53"/>
      <c r="G116" s="53">
        <v>29260233273</v>
      </c>
      <c r="H116" s="53"/>
      <c r="I116" s="53">
        <v>-24648817190</v>
      </c>
      <c r="J116" s="53"/>
      <c r="K116" s="53">
        <f t="shared" si="4"/>
        <v>4611416083</v>
      </c>
      <c r="L116" s="53"/>
      <c r="M116" s="53">
        <v>6939032</v>
      </c>
      <c r="N116" s="53"/>
      <c r="O116" s="53">
        <v>29260233273</v>
      </c>
      <c r="P116" s="53"/>
      <c r="Q116" s="53">
        <v>-23028044681</v>
      </c>
      <c r="R116" s="53"/>
      <c r="S116" s="53">
        <f t="shared" si="5"/>
        <v>6232188592</v>
      </c>
      <c r="U116" s="53">
        <v>4611416083</v>
      </c>
      <c r="V116" s="80">
        <f t="shared" si="6"/>
        <v>0</v>
      </c>
      <c r="W116" s="53">
        <v>6232188592</v>
      </c>
      <c r="X116" s="70">
        <f t="shared" si="7"/>
        <v>0</v>
      </c>
    </row>
    <row r="117" spans="2:24">
      <c r="B117" t="s">
        <v>373</v>
      </c>
      <c r="C117" s="85" t="s">
        <v>145</v>
      </c>
      <c r="E117" s="53">
        <v>2030246</v>
      </c>
      <c r="F117" s="53"/>
      <c r="G117" s="53">
        <v>22159463081</v>
      </c>
      <c r="H117" s="53"/>
      <c r="I117" s="53">
        <v>-21036719985</v>
      </c>
      <c r="J117" s="53"/>
      <c r="K117" s="53">
        <f t="shared" si="4"/>
        <v>1122743096</v>
      </c>
      <c r="L117" s="53"/>
      <c r="M117" s="53">
        <v>2030246</v>
      </c>
      <c r="N117" s="53"/>
      <c r="O117" s="53">
        <v>22159463081</v>
      </c>
      <c r="P117" s="53"/>
      <c r="Q117" s="53">
        <v>-20806152352</v>
      </c>
      <c r="R117" s="53"/>
      <c r="S117" s="53">
        <f t="shared" si="5"/>
        <v>1353310729</v>
      </c>
      <c r="U117" s="53">
        <v>1122743096</v>
      </c>
      <c r="V117" s="80">
        <f t="shared" si="6"/>
        <v>0</v>
      </c>
      <c r="W117" s="53">
        <v>1353310729</v>
      </c>
      <c r="X117" s="70">
        <f t="shared" si="7"/>
        <v>0</v>
      </c>
    </row>
    <row r="118" spans="2:24">
      <c r="B118" t="s">
        <v>374</v>
      </c>
      <c r="C118" s="85" t="s">
        <v>211</v>
      </c>
      <c r="E118" s="53">
        <v>1240466</v>
      </c>
      <c r="F118" s="53"/>
      <c r="G118" s="53">
        <v>12688446993</v>
      </c>
      <c r="H118" s="53"/>
      <c r="I118" s="53">
        <v>-12005912607</v>
      </c>
      <c r="J118" s="53"/>
      <c r="K118" s="53">
        <f t="shared" si="4"/>
        <v>682534386</v>
      </c>
      <c r="L118" s="53"/>
      <c r="M118" s="53">
        <v>1240466</v>
      </c>
      <c r="N118" s="53"/>
      <c r="O118" s="53">
        <v>12688446993</v>
      </c>
      <c r="P118" s="53"/>
      <c r="Q118" s="53">
        <v>-12311331195</v>
      </c>
      <c r="R118" s="53"/>
      <c r="S118" s="53">
        <f t="shared" si="5"/>
        <v>377115798</v>
      </c>
      <c r="U118" s="53">
        <v>682534386</v>
      </c>
      <c r="V118" s="80">
        <f t="shared" si="6"/>
        <v>0</v>
      </c>
      <c r="W118" s="53">
        <v>377115798</v>
      </c>
      <c r="X118" s="70">
        <f t="shared" si="7"/>
        <v>0</v>
      </c>
    </row>
    <row r="119" spans="2:24">
      <c r="B119" t="s">
        <v>375</v>
      </c>
      <c r="C119" s="85" t="s">
        <v>124</v>
      </c>
      <c r="E119" s="53">
        <v>523299</v>
      </c>
      <c r="F119" s="53"/>
      <c r="G119" s="53">
        <v>9467373754</v>
      </c>
      <c r="H119" s="53"/>
      <c r="I119" s="53">
        <v>-8673783008</v>
      </c>
      <c r="J119" s="53"/>
      <c r="K119" s="53">
        <f t="shared" si="4"/>
        <v>793590746</v>
      </c>
      <c r="L119" s="53"/>
      <c r="M119" s="53">
        <v>523299</v>
      </c>
      <c r="N119" s="53"/>
      <c r="O119" s="53">
        <v>9467373754</v>
      </c>
      <c r="P119" s="53"/>
      <c r="Q119" s="53">
        <v>-8340257524</v>
      </c>
      <c r="R119" s="53"/>
      <c r="S119" s="53">
        <f t="shared" si="5"/>
        <v>1127116230</v>
      </c>
      <c r="U119" s="53">
        <v>793590746</v>
      </c>
      <c r="V119" s="80">
        <f t="shared" si="6"/>
        <v>0</v>
      </c>
      <c r="W119" s="53">
        <v>1127116230</v>
      </c>
      <c r="X119" s="70">
        <f t="shared" si="7"/>
        <v>0</v>
      </c>
    </row>
    <row r="120" spans="2:24">
      <c r="B120" t="s">
        <v>376</v>
      </c>
      <c r="C120" s="85" t="s">
        <v>105</v>
      </c>
      <c r="E120" s="53">
        <v>4546528</v>
      </c>
      <c r="F120" s="53"/>
      <c r="G120" s="53">
        <v>13874791809</v>
      </c>
      <c r="H120" s="53"/>
      <c r="I120" s="53">
        <v>-12650922800</v>
      </c>
      <c r="J120" s="53"/>
      <c r="K120" s="53">
        <f t="shared" si="4"/>
        <v>1223869009</v>
      </c>
      <c r="L120" s="53"/>
      <c r="M120" s="53">
        <v>4546528</v>
      </c>
      <c r="N120" s="53"/>
      <c r="O120" s="53">
        <v>13874791809</v>
      </c>
      <c r="P120" s="53"/>
      <c r="Q120" s="53">
        <v>-12452715794</v>
      </c>
      <c r="R120" s="53"/>
      <c r="S120" s="53">
        <f t="shared" si="5"/>
        <v>1422076015</v>
      </c>
      <c r="U120" s="53">
        <v>1223869009</v>
      </c>
      <c r="V120" s="80">
        <f t="shared" si="6"/>
        <v>0</v>
      </c>
      <c r="W120" s="53">
        <v>1422076015</v>
      </c>
      <c r="X120" s="70">
        <f t="shared" si="7"/>
        <v>0</v>
      </c>
    </row>
    <row r="121" spans="2:24">
      <c r="B121" t="s">
        <v>377</v>
      </c>
      <c r="C121" s="85" t="s">
        <v>153</v>
      </c>
      <c r="E121" s="53">
        <v>722835</v>
      </c>
      <c r="F121" s="53"/>
      <c r="G121" s="53">
        <v>3415432242</v>
      </c>
      <c r="H121" s="53"/>
      <c r="I121" s="53">
        <v>-2928483209</v>
      </c>
      <c r="J121" s="53"/>
      <c r="K121" s="53">
        <f t="shared" si="4"/>
        <v>486949033</v>
      </c>
      <c r="L121" s="53"/>
      <c r="M121" s="53">
        <v>722835</v>
      </c>
      <c r="N121" s="53"/>
      <c r="O121" s="53">
        <v>3415432242</v>
      </c>
      <c r="P121" s="53"/>
      <c r="Q121" s="53">
        <v>-3907350782</v>
      </c>
      <c r="R121" s="53"/>
      <c r="S121" s="53">
        <f t="shared" si="5"/>
        <v>-491918540</v>
      </c>
      <c r="U121" s="53">
        <v>486949033</v>
      </c>
      <c r="V121" s="80">
        <f t="shared" si="6"/>
        <v>0</v>
      </c>
      <c r="W121" s="53">
        <v>-491918540</v>
      </c>
      <c r="X121" s="70">
        <f t="shared" si="7"/>
        <v>0</v>
      </c>
    </row>
    <row r="122" spans="2:24">
      <c r="B122" t="s">
        <v>378</v>
      </c>
      <c r="C122" s="85" t="s">
        <v>98</v>
      </c>
      <c r="E122" s="53">
        <v>412273</v>
      </c>
      <c r="F122" s="53"/>
      <c r="G122" s="53">
        <v>8737361886</v>
      </c>
      <c r="H122" s="53"/>
      <c r="I122" s="53">
        <v>-7632148869</v>
      </c>
      <c r="J122" s="53"/>
      <c r="K122" s="53">
        <f t="shared" si="4"/>
        <v>1105213017</v>
      </c>
      <c r="L122" s="53"/>
      <c r="M122" s="53">
        <v>412273</v>
      </c>
      <c r="N122" s="53"/>
      <c r="O122" s="53">
        <v>8737361886</v>
      </c>
      <c r="P122" s="53"/>
      <c r="Q122" s="53">
        <v>-8458214979</v>
      </c>
      <c r="R122" s="53"/>
      <c r="S122" s="53">
        <f t="shared" si="5"/>
        <v>279146907</v>
      </c>
      <c r="U122" s="53">
        <v>1105213017</v>
      </c>
      <c r="V122" s="80">
        <f t="shared" si="6"/>
        <v>0</v>
      </c>
      <c r="W122" s="53">
        <v>279146907</v>
      </c>
      <c r="X122" s="70">
        <f t="shared" si="7"/>
        <v>0</v>
      </c>
    </row>
    <row r="123" spans="2:24">
      <c r="B123" t="s">
        <v>379</v>
      </c>
      <c r="C123" s="85" t="s">
        <v>229</v>
      </c>
      <c r="E123" s="53">
        <v>1366720</v>
      </c>
      <c r="F123" s="53"/>
      <c r="G123" s="53">
        <v>6181575476</v>
      </c>
      <c r="H123" s="53"/>
      <c r="I123" s="53">
        <v>-5355826332</v>
      </c>
      <c r="J123" s="53"/>
      <c r="K123" s="53">
        <f t="shared" si="4"/>
        <v>825749144</v>
      </c>
      <c r="L123" s="53"/>
      <c r="M123" s="53">
        <v>1366720</v>
      </c>
      <c r="N123" s="53"/>
      <c r="O123" s="53">
        <v>6181575476</v>
      </c>
      <c r="P123" s="53"/>
      <c r="Q123" s="53">
        <v>-6000166972</v>
      </c>
      <c r="R123" s="53"/>
      <c r="S123" s="53">
        <f t="shared" si="5"/>
        <v>181408504</v>
      </c>
      <c r="U123" s="53">
        <v>825749144</v>
      </c>
      <c r="V123" s="80">
        <f t="shared" si="6"/>
        <v>0</v>
      </c>
      <c r="W123" s="53">
        <v>181408504</v>
      </c>
      <c r="X123" s="70">
        <f t="shared" si="7"/>
        <v>0</v>
      </c>
    </row>
    <row r="124" spans="2:24">
      <c r="B124" t="s">
        <v>380</v>
      </c>
      <c r="C124" s="85" t="s">
        <v>102</v>
      </c>
      <c r="E124" s="53">
        <v>1503847</v>
      </c>
      <c r="F124" s="53"/>
      <c r="G124" s="53">
        <v>13439143005</v>
      </c>
      <c r="H124" s="53"/>
      <c r="I124" s="53">
        <v>-11277362493</v>
      </c>
      <c r="J124" s="53"/>
      <c r="K124" s="53">
        <f t="shared" si="4"/>
        <v>2161780512</v>
      </c>
      <c r="L124" s="53"/>
      <c r="M124" s="53">
        <v>1503847</v>
      </c>
      <c r="N124" s="53"/>
      <c r="O124" s="53">
        <v>13439143005</v>
      </c>
      <c r="P124" s="53"/>
      <c r="Q124" s="53">
        <v>-11023429413</v>
      </c>
      <c r="R124" s="53"/>
      <c r="S124" s="53">
        <f t="shared" si="5"/>
        <v>2415713592</v>
      </c>
      <c r="U124" s="53">
        <v>2161780512</v>
      </c>
      <c r="V124" s="80">
        <f t="shared" si="6"/>
        <v>0</v>
      </c>
      <c r="W124" s="53">
        <v>2415713592</v>
      </c>
      <c r="X124" s="70">
        <f t="shared" si="7"/>
        <v>0</v>
      </c>
    </row>
    <row r="125" spans="2:24">
      <c r="B125" t="s">
        <v>381</v>
      </c>
      <c r="C125" s="85" t="s">
        <v>100</v>
      </c>
      <c r="E125" s="53">
        <v>1845104</v>
      </c>
      <c r="F125" s="53"/>
      <c r="G125" s="53">
        <v>9808903880</v>
      </c>
      <c r="H125" s="53"/>
      <c r="I125" s="53">
        <v>-8421188879</v>
      </c>
      <c r="J125" s="53"/>
      <c r="K125" s="53">
        <f t="shared" si="4"/>
        <v>1387715001</v>
      </c>
      <c r="L125" s="53"/>
      <c r="M125" s="53">
        <v>1845104</v>
      </c>
      <c r="N125" s="53"/>
      <c r="O125" s="53">
        <v>9808903880</v>
      </c>
      <c r="P125" s="53"/>
      <c r="Q125" s="53">
        <v>-9024942851</v>
      </c>
      <c r="R125" s="53"/>
      <c r="S125" s="53">
        <f t="shared" si="5"/>
        <v>783961029</v>
      </c>
      <c r="U125" s="53">
        <v>1387715001</v>
      </c>
      <c r="V125" s="80">
        <f t="shared" si="6"/>
        <v>0</v>
      </c>
      <c r="W125" s="53">
        <v>783961029</v>
      </c>
      <c r="X125" s="70">
        <f t="shared" si="7"/>
        <v>0</v>
      </c>
    </row>
    <row r="126" spans="2:24">
      <c r="B126" t="s">
        <v>382</v>
      </c>
      <c r="C126" s="85" t="s">
        <v>152</v>
      </c>
      <c r="E126" s="53">
        <v>3942548</v>
      </c>
      <c r="F126" s="53"/>
      <c r="G126" s="53">
        <v>26689001809</v>
      </c>
      <c r="H126" s="53"/>
      <c r="I126" s="53">
        <v>-24311809991</v>
      </c>
      <c r="J126" s="53"/>
      <c r="K126" s="53">
        <f t="shared" si="4"/>
        <v>2377191818</v>
      </c>
      <c r="L126" s="53"/>
      <c r="M126" s="53">
        <v>3942548</v>
      </c>
      <c r="N126" s="53"/>
      <c r="O126" s="53">
        <v>26689001809</v>
      </c>
      <c r="P126" s="53"/>
      <c r="Q126" s="53">
        <v>-25097966974</v>
      </c>
      <c r="R126" s="53"/>
      <c r="S126" s="53">
        <f t="shared" si="5"/>
        <v>1591034835</v>
      </c>
      <c r="U126" s="53">
        <v>2377191818</v>
      </c>
      <c r="V126" s="80">
        <f t="shared" si="6"/>
        <v>0</v>
      </c>
      <c r="W126" s="53">
        <v>1591034835</v>
      </c>
      <c r="X126" s="70">
        <f t="shared" si="7"/>
        <v>0</v>
      </c>
    </row>
    <row r="127" spans="2:24">
      <c r="B127" t="s">
        <v>383</v>
      </c>
      <c r="C127" s="85" t="s">
        <v>163</v>
      </c>
      <c r="E127" s="53">
        <v>379023</v>
      </c>
      <c r="F127" s="53"/>
      <c r="G127" s="53">
        <v>5775850579</v>
      </c>
      <c r="H127" s="53"/>
      <c r="I127" s="53">
        <v>-5733032283</v>
      </c>
      <c r="J127" s="53"/>
      <c r="K127" s="53">
        <f t="shared" si="4"/>
        <v>42818296</v>
      </c>
      <c r="L127" s="53"/>
      <c r="M127" s="53">
        <v>379023</v>
      </c>
      <c r="N127" s="53"/>
      <c r="O127" s="53">
        <v>5775850579</v>
      </c>
      <c r="P127" s="53"/>
      <c r="Q127" s="53">
        <v>-5148969181</v>
      </c>
      <c r="R127" s="53"/>
      <c r="S127" s="53">
        <f t="shared" si="5"/>
        <v>626881398</v>
      </c>
      <c r="U127" s="53">
        <v>42818296</v>
      </c>
      <c r="V127" s="80">
        <f t="shared" si="6"/>
        <v>0</v>
      </c>
      <c r="W127" s="53">
        <v>626881398</v>
      </c>
      <c r="X127" s="70">
        <f t="shared" si="7"/>
        <v>0</v>
      </c>
    </row>
    <row r="128" spans="2:24">
      <c r="B128" t="s">
        <v>384</v>
      </c>
      <c r="C128" s="85" t="s">
        <v>262</v>
      </c>
      <c r="E128" s="53">
        <v>1526483</v>
      </c>
      <c r="F128" s="53"/>
      <c r="G128" s="53">
        <v>19650335522</v>
      </c>
      <c r="H128" s="53"/>
      <c r="I128" s="53">
        <v>-22322633341</v>
      </c>
      <c r="J128" s="53"/>
      <c r="K128" s="53">
        <f t="shared" si="4"/>
        <v>-2672297819</v>
      </c>
      <c r="L128" s="53"/>
      <c r="M128" s="53">
        <v>1526483</v>
      </c>
      <c r="N128" s="53"/>
      <c r="O128" s="53">
        <v>19650335522</v>
      </c>
      <c r="P128" s="53"/>
      <c r="Q128" s="53">
        <v>-13868836681</v>
      </c>
      <c r="R128" s="53"/>
      <c r="S128" s="53">
        <f t="shared" si="5"/>
        <v>5781498841</v>
      </c>
      <c r="U128" s="53">
        <v>-2672297819</v>
      </c>
      <c r="V128" s="80">
        <f t="shared" si="6"/>
        <v>0</v>
      </c>
      <c r="W128" s="53">
        <v>5781498841</v>
      </c>
      <c r="X128" s="70">
        <f t="shared" si="7"/>
        <v>0</v>
      </c>
    </row>
    <row r="129" spans="2:24">
      <c r="B129" t="s">
        <v>385</v>
      </c>
      <c r="C129" s="85" t="s">
        <v>201</v>
      </c>
      <c r="E129" s="53">
        <v>6895107</v>
      </c>
      <c r="F129" s="53"/>
      <c r="G129" s="53">
        <v>37491823692</v>
      </c>
      <c r="H129" s="53"/>
      <c r="I129" s="53">
        <v>-30569537009</v>
      </c>
      <c r="J129" s="53"/>
      <c r="K129" s="53">
        <f t="shared" si="4"/>
        <v>6922286683</v>
      </c>
      <c r="L129" s="53"/>
      <c r="M129" s="53">
        <v>6895107</v>
      </c>
      <c r="N129" s="53"/>
      <c r="O129" s="53">
        <v>37491823692</v>
      </c>
      <c r="P129" s="53"/>
      <c r="Q129" s="53">
        <v>-29074083936</v>
      </c>
      <c r="R129" s="53"/>
      <c r="S129" s="53">
        <f t="shared" si="5"/>
        <v>8417739756</v>
      </c>
      <c r="U129" s="53">
        <v>6922286683</v>
      </c>
      <c r="V129" s="80">
        <f t="shared" si="6"/>
        <v>0</v>
      </c>
      <c r="W129" s="53">
        <v>8417739756</v>
      </c>
      <c r="X129" s="70">
        <f t="shared" si="7"/>
        <v>0</v>
      </c>
    </row>
    <row r="130" spans="2:24">
      <c r="B130" t="s">
        <v>386</v>
      </c>
      <c r="C130" s="85" t="s">
        <v>208</v>
      </c>
      <c r="E130" s="53">
        <v>1606061</v>
      </c>
      <c r="F130" s="53"/>
      <c r="G130" s="53">
        <v>26182680969</v>
      </c>
      <c r="H130" s="53"/>
      <c r="I130" s="53">
        <v>-22454507882</v>
      </c>
      <c r="J130" s="53"/>
      <c r="K130" s="53">
        <f t="shared" si="4"/>
        <v>3728173087</v>
      </c>
      <c r="L130" s="53"/>
      <c r="M130" s="53">
        <v>1606061</v>
      </c>
      <c r="N130" s="53"/>
      <c r="O130" s="53">
        <v>26182680969</v>
      </c>
      <c r="P130" s="53"/>
      <c r="Q130" s="53">
        <v>-23299041277</v>
      </c>
      <c r="R130" s="53"/>
      <c r="S130" s="53">
        <f t="shared" si="5"/>
        <v>2883639692</v>
      </c>
      <c r="U130" s="53">
        <v>3728173087</v>
      </c>
      <c r="V130" s="80">
        <f t="shared" si="6"/>
        <v>0</v>
      </c>
      <c r="W130" s="53">
        <v>2883639692</v>
      </c>
      <c r="X130" s="70">
        <f t="shared" si="7"/>
        <v>0</v>
      </c>
    </row>
    <row r="131" spans="2:24">
      <c r="B131" t="s">
        <v>387</v>
      </c>
      <c r="C131" s="85" t="s">
        <v>101</v>
      </c>
      <c r="E131" s="53">
        <v>5973733</v>
      </c>
      <c r="F131" s="53"/>
      <c r="G131" s="53">
        <v>21021190085</v>
      </c>
      <c r="H131" s="53"/>
      <c r="I131" s="53">
        <v>-15387833074</v>
      </c>
      <c r="J131" s="53"/>
      <c r="K131" s="53">
        <f t="shared" si="4"/>
        <v>5633357011</v>
      </c>
      <c r="L131" s="53"/>
      <c r="M131" s="53">
        <v>5973733</v>
      </c>
      <c r="N131" s="53"/>
      <c r="O131" s="53">
        <v>21021190085</v>
      </c>
      <c r="P131" s="53"/>
      <c r="Q131" s="53">
        <v>-16030453939</v>
      </c>
      <c r="R131" s="53"/>
      <c r="S131" s="53">
        <f t="shared" si="5"/>
        <v>4990736146</v>
      </c>
      <c r="U131" s="53">
        <v>5633357011</v>
      </c>
      <c r="V131" s="80">
        <f t="shared" si="6"/>
        <v>0</v>
      </c>
      <c r="W131" s="53">
        <v>4990736146</v>
      </c>
      <c r="X131" s="70">
        <f t="shared" si="7"/>
        <v>0</v>
      </c>
    </row>
    <row r="132" spans="2:24">
      <c r="B132" t="s">
        <v>388</v>
      </c>
      <c r="C132" s="85" t="s">
        <v>119</v>
      </c>
      <c r="E132" s="53">
        <v>15650250</v>
      </c>
      <c r="F132" s="53"/>
      <c r="G132" s="53">
        <v>123056906313</v>
      </c>
      <c r="H132" s="53"/>
      <c r="I132" s="53">
        <v>-116295460827</v>
      </c>
      <c r="J132" s="53"/>
      <c r="K132" s="53">
        <f t="shared" ref="K132:K185" si="8">G132+I132</f>
        <v>6761445486</v>
      </c>
      <c r="L132" s="53"/>
      <c r="M132" s="53">
        <v>15650250</v>
      </c>
      <c r="N132" s="53"/>
      <c r="O132" s="53">
        <v>123056906313</v>
      </c>
      <c r="P132" s="53"/>
      <c r="Q132" s="53">
        <v>-101656574021</v>
      </c>
      <c r="R132" s="53"/>
      <c r="S132" s="53">
        <f t="shared" ref="S132:S185" si="9">O132+Q132</f>
        <v>21400332292</v>
      </c>
      <c r="U132" s="53">
        <v>6761445486</v>
      </c>
      <c r="V132" s="80">
        <f t="shared" ref="V132:V185" si="10">U132-K132</f>
        <v>0</v>
      </c>
      <c r="W132" s="53">
        <v>21400332292</v>
      </c>
      <c r="X132" s="70">
        <f t="shared" ref="X132:X185" si="11">S132-W132</f>
        <v>0</v>
      </c>
    </row>
    <row r="133" spans="2:24">
      <c r="B133" t="s">
        <v>716</v>
      </c>
      <c r="C133" s="85" t="s">
        <v>518</v>
      </c>
      <c r="E133" s="53">
        <v>274650</v>
      </c>
      <c r="F133" s="53"/>
      <c r="G133" s="53">
        <v>2711047220</v>
      </c>
      <c r="H133" s="53"/>
      <c r="I133" s="53">
        <v>-2058539380</v>
      </c>
      <c r="J133" s="53"/>
      <c r="K133" s="53">
        <f t="shared" si="8"/>
        <v>652507840</v>
      </c>
      <c r="L133" s="53"/>
      <c r="M133" s="53">
        <v>274650</v>
      </c>
      <c r="N133" s="53"/>
      <c r="O133" s="53">
        <v>2711047220</v>
      </c>
      <c r="P133" s="53"/>
      <c r="Q133" s="53">
        <v>-2742205905</v>
      </c>
      <c r="R133" s="53"/>
      <c r="S133" s="53">
        <f t="shared" si="9"/>
        <v>-31158685</v>
      </c>
      <c r="U133" s="53">
        <v>652507840</v>
      </c>
      <c r="V133" s="80">
        <f t="shared" si="10"/>
        <v>0</v>
      </c>
      <c r="W133" s="53">
        <v>-31158685</v>
      </c>
      <c r="X133" s="70">
        <f t="shared" si="11"/>
        <v>0</v>
      </c>
    </row>
    <row r="134" spans="2:24">
      <c r="B134" t="s">
        <v>390</v>
      </c>
      <c r="C134" s="85" t="s">
        <v>137</v>
      </c>
      <c r="E134" s="53">
        <v>226154</v>
      </c>
      <c r="F134" s="53"/>
      <c r="G134" s="53">
        <v>2560567494</v>
      </c>
      <c r="H134" s="53"/>
      <c r="I134" s="53">
        <v>-2206651891</v>
      </c>
      <c r="J134" s="53"/>
      <c r="K134" s="53">
        <f t="shared" si="8"/>
        <v>353915603</v>
      </c>
      <c r="L134" s="53"/>
      <c r="M134" s="53">
        <v>226154</v>
      </c>
      <c r="N134" s="53"/>
      <c r="O134" s="53">
        <v>2560567494</v>
      </c>
      <c r="P134" s="53"/>
      <c r="Q134" s="53">
        <v>-2398202394</v>
      </c>
      <c r="R134" s="53"/>
      <c r="S134" s="53">
        <f t="shared" si="9"/>
        <v>162365100</v>
      </c>
      <c r="U134" s="53">
        <v>353915603</v>
      </c>
      <c r="V134" s="80">
        <f t="shared" si="10"/>
        <v>0</v>
      </c>
      <c r="W134" s="53">
        <v>162365100</v>
      </c>
      <c r="X134" s="70">
        <f t="shared" si="11"/>
        <v>0</v>
      </c>
    </row>
    <row r="135" spans="2:24">
      <c r="B135" t="s">
        <v>391</v>
      </c>
      <c r="C135" s="85" t="s">
        <v>159</v>
      </c>
      <c r="E135" s="53">
        <v>5333519</v>
      </c>
      <c r="F135" s="53"/>
      <c r="G135" s="53">
        <v>26503621030</v>
      </c>
      <c r="H135" s="53"/>
      <c r="I135" s="53">
        <v>-21912909143</v>
      </c>
      <c r="J135" s="53"/>
      <c r="K135" s="53">
        <f t="shared" si="8"/>
        <v>4590711887</v>
      </c>
      <c r="L135" s="53"/>
      <c r="M135" s="53">
        <v>5333519</v>
      </c>
      <c r="N135" s="53"/>
      <c r="O135" s="53">
        <v>26503621030</v>
      </c>
      <c r="P135" s="53"/>
      <c r="Q135" s="53">
        <v>-18174763420</v>
      </c>
      <c r="R135" s="53"/>
      <c r="S135" s="53">
        <f t="shared" si="9"/>
        <v>8328857610</v>
      </c>
      <c r="U135" s="53">
        <v>4590711887</v>
      </c>
      <c r="V135" s="80">
        <f t="shared" si="10"/>
        <v>0</v>
      </c>
      <c r="W135" s="53">
        <v>8328857610</v>
      </c>
      <c r="X135" s="70">
        <f t="shared" si="11"/>
        <v>0</v>
      </c>
    </row>
    <row r="136" spans="2:24">
      <c r="B136" t="s">
        <v>392</v>
      </c>
      <c r="C136" s="85" t="s">
        <v>272</v>
      </c>
      <c r="E136" s="53">
        <v>111382</v>
      </c>
      <c r="F136" s="53"/>
      <c r="G136" s="53">
        <v>10222710856</v>
      </c>
      <c r="H136" s="53"/>
      <c r="I136" s="53">
        <v>-8599603440</v>
      </c>
      <c r="J136" s="53"/>
      <c r="K136" s="53">
        <f t="shared" si="8"/>
        <v>1623107416</v>
      </c>
      <c r="L136" s="53"/>
      <c r="M136" s="53">
        <v>111382</v>
      </c>
      <c r="N136" s="53"/>
      <c r="O136" s="53">
        <v>10222710856</v>
      </c>
      <c r="P136" s="53"/>
      <c r="Q136" s="53">
        <v>-8601400334</v>
      </c>
      <c r="R136" s="53"/>
      <c r="S136" s="53">
        <f t="shared" si="9"/>
        <v>1621310522</v>
      </c>
      <c r="U136" s="53">
        <v>1623107416</v>
      </c>
      <c r="V136" s="80">
        <f t="shared" si="10"/>
        <v>0</v>
      </c>
      <c r="W136" s="53">
        <v>1621310522</v>
      </c>
      <c r="X136" s="70">
        <f t="shared" si="11"/>
        <v>0</v>
      </c>
    </row>
    <row r="137" spans="2:24">
      <c r="B137" t="s">
        <v>393</v>
      </c>
      <c r="C137" s="85" t="s">
        <v>138</v>
      </c>
      <c r="E137" s="53">
        <v>5361382</v>
      </c>
      <c r="F137" s="53"/>
      <c r="G137" s="53">
        <v>14831947790</v>
      </c>
      <c r="H137" s="53"/>
      <c r="I137" s="53">
        <v>-13375441490</v>
      </c>
      <c r="J137" s="53"/>
      <c r="K137" s="53">
        <f t="shared" si="8"/>
        <v>1456506300</v>
      </c>
      <c r="L137" s="53"/>
      <c r="M137" s="53">
        <v>5361382</v>
      </c>
      <c r="N137" s="53"/>
      <c r="O137" s="53">
        <v>14831947790</v>
      </c>
      <c r="P137" s="53"/>
      <c r="Q137" s="53">
        <v>-14713285764</v>
      </c>
      <c r="R137" s="53"/>
      <c r="S137" s="53">
        <f t="shared" si="9"/>
        <v>118662026</v>
      </c>
      <c r="U137" s="53">
        <v>1456506300</v>
      </c>
      <c r="V137" s="80">
        <f t="shared" si="10"/>
        <v>0</v>
      </c>
      <c r="W137" s="53">
        <v>118662026</v>
      </c>
      <c r="X137" s="70">
        <f t="shared" si="11"/>
        <v>0</v>
      </c>
    </row>
    <row r="138" spans="2:24">
      <c r="B138" t="s">
        <v>394</v>
      </c>
      <c r="C138" s="85" t="s">
        <v>223</v>
      </c>
      <c r="E138" s="53">
        <v>3548951</v>
      </c>
      <c r="F138" s="53"/>
      <c r="G138" s="53">
        <v>23318987646</v>
      </c>
      <c r="H138" s="53"/>
      <c r="I138" s="53">
        <v>-18571147774</v>
      </c>
      <c r="J138" s="53"/>
      <c r="K138" s="53">
        <f t="shared" si="8"/>
        <v>4747839872</v>
      </c>
      <c r="L138" s="53"/>
      <c r="M138" s="53">
        <v>3548951</v>
      </c>
      <c r="N138" s="53"/>
      <c r="O138" s="53">
        <v>23318987646</v>
      </c>
      <c r="P138" s="53"/>
      <c r="Q138" s="53">
        <v>-17697047811</v>
      </c>
      <c r="R138" s="53"/>
      <c r="S138" s="53">
        <f t="shared" si="9"/>
        <v>5621939835</v>
      </c>
      <c r="U138" s="53">
        <v>4747839872</v>
      </c>
      <c r="V138" s="80">
        <f t="shared" si="10"/>
        <v>0</v>
      </c>
      <c r="W138" s="53">
        <v>5621939835</v>
      </c>
      <c r="X138" s="70">
        <f t="shared" si="11"/>
        <v>0</v>
      </c>
    </row>
    <row r="139" spans="2:24">
      <c r="B139" t="s">
        <v>395</v>
      </c>
      <c r="C139" s="85" t="s">
        <v>228</v>
      </c>
      <c r="E139" s="53">
        <v>798233</v>
      </c>
      <c r="F139" s="53"/>
      <c r="G139" s="53">
        <v>18353271120</v>
      </c>
      <c r="H139" s="53"/>
      <c r="I139" s="53">
        <v>-16550663414</v>
      </c>
      <c r="J139" s="53"/>
      <c r="K139" s="53">
        <f t="shared" si="8"/>
        <v>1802607706</v>
      </c>
      <c r="L139" s="53"/>
      <c r="M139" s="53">
        <v>798233</v>
      </c>
      <c r="N139" s="53"/>
      <c r="O139" s="53">
        <v>18353271120</v>
      </c>
      <c r="P139" s="53"/>
      <c r="Q139" s="53">
        <v>-17768701808</v>
      </c>
      <c r="R139" s="53"/>
      <c r="S139" s="53">
        <f t="shared" si="9"/>
        <v>584569312</v>
      </c>
      <c r="U139" s="53">
        <v>1802607706</v>
      </c>
      <c r="V139" s="80">
        <f>U139-K139</f>
        <v>0</v>
      </c>
      <c r="W139" s="53">
        <v>584569312</v>
      </c>
      <c r="X139" s="70">
        <f t="shared" si="11"/>
        <v>0</v>
      </c>
    </row>
    <row r="140" spans="2:24">
      <c r="B140" t="s">
        <v>396</v>
      </c>
      <c r="C140" s="85" t="s">
        <v>209</v>
      </c>
      <c r="E140" s="53">
        <v>2033780</v>
      </c>
      <c r="F140" s="53"/>
      <c r="G140" s="53">
        <v>17709908122</v>
      </c>
      <c r="H140" s="53"/>
      <c r="I140" s="53">
        <v>-17088386390</v>
      </c>
      <c r="J140" s="53"/>
      <c r="K140" s="53">
        <f t="shared" si="8"/>
        <v>621521732</v>
      </c>
      <c r="L140" s="53"/>
      <c r="M140" s="53">
        <v>2033780</v>
      </c>
      <c r="N140" s="53"/>
      <c r="O140" s="53">
        <v>17709908122</v>
      </c>
      <c r="P140" s="53"/>
      <c r="Q140" s="53">
        <v>-15125211619</v>
      </c>
      <c r="R140" s="53"/>
      <c r="S140" s="53">
        <f t="shared" si="9"/>
        <v>2584696503</v>
      </c>
      <c r="U140" s="53">
        <v>621521732</v>
      </c>
      <c r="V140" s="80">
        <f t="shared" si="10"/>
        <v>0</v>
      </c>
      <c r="W140" s="53">
        <v>2584696503</v>
      </c>
      <c r="X140" s="70">
        <f t="shared" si="11"/>
        <v>0</v>
      </c>
    </row>
    <row r="141" spans="2:24">
      <c r="B141" t="s">
        <v>397</v>
      </c>
      <c r="C141" s="85" t="s">
        <v>114</v>
      </c>
      <c r="E141" s="53">
        <v>3752506</v>
      </c>
      <c r="F141" s="53"/>
      <c r="G141" s="53">
        <v>12145461491</v>
      </c>
      <c r="H141" s="53"/>
      <c r="I141" s="53">
        <v>-11344951019</v>
      </c>
      <c r="J141" s="53"/>
      <c r="K141" s="53">
        <f t="shared" si="8"/>
        <v>800510472</v>
      </c>
      <c r="L141" s="53"/>
      <c r="M141" s="53">
        <v>3752506</v>
      </c>
      <c r="N141" s="53"/>
      <c r="O141" s="53">
        <v>12145461491</v>
      </c>
      <c r="P141" s="53"/>
      <c r="Q141" s="53">
        <v>-12486377119</v>
      </c>
      <c r="R141" s="53"/>
      <c r="S141" s="53">
        <f t="shared" si="9"/>
        <v>-340915628</v>
      </c>
      <c r="U141" s="53">
        <v>800510472</v>
      </c>
      <c r="V141" s="80">
        <f t="shared" si="10"/>
        <v>0</v>
      </c>
      <c r="W141" s="53">
        <v>-340915628</v>
      </c>
      <c r="X141" s="70">
        <f t="shared" si="11"/>
        <v>0</v>
      </c>
    </row>
    <row r="142" spans="2:24">
      <c r="B142" t="s">
        <v>510</v>
      </c>
      <c r="C142" s="85" t="s">
        <v>491</v>
      </c>
      <c r="E142" s="53">
        <v>1161972</v>
      </c>
      <c r="F142" s="53"/>
      <c r="G142" s="53">
        <v>25411281868</v>
      </c>
      <c r="H142" s="53"/>
      <c r="I142" s="53">
        <v>-22024394725</v>
      </c>
      <c r="J142" s="53"/>
      <c r="K142" s="53">
        <f t="shared" si="8"/>
        <v>3386887143</v>
      </c>
      <c r="L142" s="53"/>
      <c r="M142" s="53">
        <v>1161972</v>
      </c>
      <c r="N142" s="53"/>
      <c r="O142" s="53">
        <v>25411281868</v>
      </c>
      <c r="P142" s="53"/>
      <c r="Q142" s="53">
        <v>-19924916001</v>
      </c>
      <c r="R142" s="53"/>
      <c r="S142" s="53">
        <f t="shared" si="9"/>
        <v>5486365867</v>
      </c>
      <c r="U142" s="53">
        <v>3386887143</v>
      </c>
      <c r="V142" s="80">
        <f t="shared" si="10"/>
        <v>0</v>
      </c>
      <c r="W142" s="53">
        <v>5486365867</v>
      </c>
      <c r="X142" s="70">
        <f t="shared" si="11"/>
        <v>0</v>
      </c>
    </row>
    <row r="143" spans="2:24">
      <c r="B143" t="s">
        <v>398</v>
      </c>
      <c r="C143" s="85" t="s">
        <v>162</v>
      </c>
      <c r="E143" s="53">
        <v>621796</v>
      </c>
      <c r="F143" s="53"/>
      <c r="G143" s="53">
        <v>21658094840</v>
      </c>
      <c r="H143" s="53"/>
      <c r="I143" s="53">
        <v>-20003825622</v>
      </c>
      <c r="J143" s="53"/>
      <c r="K143" s="53">
        <f t="shared" si="8"/>
        <v>1654269218</v>
      </c>
      <c r="L143" s="53"/>
      <c r="M143" s="53">
        <v>621796</v>
      </c>
      <c r="N143" s="53"/>
      <c r="O143" s="53">
        <v>21658094840</v>
      </c>
      <c r="P143" s="53"/>
      <c r="Q143" s="53">
        <v>-17783446614</v>
      </c>
      <c r="R143" s="53"/>
      <c r="S143" s="53">
        <f t="shared" si="9"/>
        <v>3874648226</v>
      </c>
      <c r="U143" s="53">
        <v>1654269218</v>
      </c>
      <c r="V143" s="80">
        <f t="shared" si="10"/>
        <v>0</v>
      </c>
      <c r="W143" s="53">
        <v>3874648226</v>
      </c>
      <c r="X143" s="70">
        <f t="shared" si="11"/>
        <v>0</v>
      </c>
    </row>
    <row r="144" spans="2:24">
      <c r="B144" t="s">
        <v>399</v>
      </c>
      <c r="C144" s="85" t="s">
        <v>165</v>
      </c>
      <c r="E144" s="53">
        <v>1368594</v>
      </c>
      <c r="F144" s="53"/>
      <c r="G144" s="53">
        <v>12053594673</v>
      </c>
      <c r="H144" s="53"/>
      <c r="I144" s="53">
        <v>-11172760997</v>
      </c>
      <c r="J144" s="53"/>
      <c r="K144" s="53">
        <f t="shared" si="8"/>
        <v>880833676</v>
      </c>
      <c r="L144" s="53"/>
      <c r="M144" s="53">
        <v>1368594</v>
      </c>
      <c r="N144" s="53"/>
      <c r="O144" s="53">
        <v>12053594673</v>
      </c>
      <c r="P144" s="53"/>
      <c r="Q144" s="53">
        <v>-11549886901</v>
      </c>
      <c r="R144" s="53"/>
      <c r="S144" s="53">
        <f t="shared" si="9"/>
        <v>503707772</v>
      </c>
      <c r="U144" s="53">
        <v>880833676</v>
      </c>
      <c r="V144" s="80">
        <f t="shared" si="10"/>
        <v>0</v>
      </c>
      <c r="W144" s="53">
        <v>503707772</v>
      </c>
      <c r="X144" s="70">
        <f t="shared" si="11"/>
        <v>0</v>
      </c>
    </row>
    <row r="145" spans="2:24">
      <c r="B145" t="s">
        <v>400</v>
      </c>
      <c r="C145" s="85" t="s">
        <v>94</v>
      </c>
      <c r="E145" s="53">
        <v>1532494</v>
      </c>
      <c r="F145" s="53"/>
      <c r="G145" s="53">
        <v>9841006771</v>
      </c>
      <c r="H145" s="53"/>
      <c r="I145" s="53">
        <v>-8831534484</v>
      </c>
      <c r="J145" s="53"/>
      <c r="K145" s="53">
        <f t="shared" si="8"/>
        <v>1009472287</v>
      </c>
      <c r="L145" s="53"/>
      <c r="M145" s="53">
        <v>1532494</v>
      </c>
      <c r="N145" s="53"/>
      <c r="O145" s="53">
        <v>9841006771</v>
      </c>
      <c r="P145" s="53"/>
      <c r="Q145" s="53">
        <v>-8323328550</v>
      </c>
      <c r="R145" s="53"/>
      <c r="S145" s="53">
        <f t="shared" si="9"/>
        <v>1517678221</v>
      </c>
      <c r="U145" s="53">
        <v>1009472287</v>
      </c>
      <c r="V145" s="80">
        <f t="shared" si="10"/>
        <v>0</v>
      </c>
      <c r="W145" s="53">
        <v>1517678221</v>
      </c>
      <c r="X145" s="70">
        <f t="shared" si="11"/>
        <v>0</v>
      </c>
    </row>
    <row r="146" spans="2:24">
      <c r="B146" t="s">
        <v>401</v>
      </c>
      <c r="C146" s="85" t="s">
        <v>224</v>
      </c>
      <c r="E146" s="53">
        <v>1260563</v>
      </c>
      <c r="F146" s="53"/>
      <c r="G146" s="53">
        <v>14635771756</v>
      </c>
      <c r="H146" s="53"/>
      <c r="I146" s="53">
        <v>-12980586367</v>
      </c>
      <c r="J146" s="53"/>
      <c r="K146" s="53">
        <f t="shared" si="8"/>
        <v>1655185389</v>
      </c>
      <c r="L146" s="53"/>
      <c r="M146" s="53">
        <v>1260563</v>
      </c>
      <c r="N146" s="53"/>
      <c r="O146" s="53">
        <v>14635771756</v>
      </c>
      <c r="P146" s="53"/>
      <c r="Q146" s="53">
        <v>-12688368947</v>
      </c>
      <c r="R146" s="53"/>
      <c r="S146" s="53">
        <f t="shared" si="9"/>
        <v>1947402809</v>
      </c>
      <c r="U146" s="53">
        <v>1655185389</v>
      </c>
      <c r="V146" s="80">
        <f t="shared" si="10"/>
        <v>0</v>
      </c>
      <c r="W146" s="53">
        <v>1947402809</v>
      </c>
      <c r="X146" s="70">
        <f t="shared" si="11"/>
        <v>0</v>
      </c>
    </row>
    <row r="147" spans="2:24">
      <c r="B147" t="s">
        <v>402</v>
      </c>
      <c r="C147" s="85" t="s">
        <v>127</v>
      </c>
      <c r="E147" s="53">
        <v>317836</v>
      </c>
      <c r="F147" s="53"/>
      <c r="G147" s="53">
        <v>16555511495</v>
      </c>
      <c r="H147" s="53"/>
      <c r="I147" s="53">
        <v>-14140716991</v>
      </c>
      <c r="J147" s="53"/>
      <c r="K147" s="53">
        <f t="shared" si="8"/>
        <v>2414794504</v>
      </c>
      <c r="L147" s="53"/>
      <c r="M147" s="53">
        <v>317836</v>
      </c>
      <c r="N147" s="53"/>
      <c r="O147" s="53">
        <v>16555511495</v>
      </c>
      <c r="P147" s="53"/>
      <c r="Q147" s="53">
        <v>-14089014053</v>
      </c>
      <c r="R147" s="53"/>
      <c r="S147" s="53">
        <f t="shared" si="9"/>
        <v>2466497442</v>
      </c>
      <c r="U147" s="53">
        <v>2414794504</v>
      </c>
      <c r="V147" s="80">
        <f t="shared" si="10"/>
        <v>0</v>
      </c>
      <c r="W147" s="53">
        <v>2466497442</v>
      </c>
      <c r="X147" s="70">
        <f t="shared" si="11"/>
        <v>0</v>
      </c>
    </row>
    <row r="148" spans="2:24">
      <c r="B148" t="s">
        <v>403</v>
      </c>
      <c r="C148" s="85" t="s">
        <v>150</v>
      </c>
      <c r="E148" s="53">
        <v>9934250</v>
      </c>
      <c r="F148" s="53"/>
      <c r="G148" s="53">
        <v>30810440586</v>
      </c>
      <c r="H148" s="53"/>
      <c r="I148" s="53">
        <v>-28281070173</v>
      </c>
      <c r="J148" s="53"/>
      <c r="K148" s="53">
        <f t="shared" si="8"/>
        <v>2529370413</v>
      </c>
      <c r="L148" s="53"/>
      <c r="M148" s="53">
        <v>9934250</v>
      </c>
      <c r="N148" s="53"/>
      <c r="O148" s="53">
        <v>30810440586</v>
      </c>
      <c r="P148" s="53"/>
      <c r="Q148" s="53">
        <v>-29037748978</v>
      </c>
      <c r="R148" s="53"/>
      <c r="S148" s="53">
        <f t="shared" si="9"/>
        <v>1772691608</v>
      </c>
      <c r="U148" s="53">
        <v>2529370413</v>
      </c>
      <c r="V148" s="80">
        <f t="shared" si="10"/>
        <v>0</v>
      </c>
      <c r="W148" s="53">
        <v>1772691608</v>
      </c>
      <c r="X148" s="70">
        <f t="shared" si="11"/>
        <v>0</v>
      </c>
    </row>
    <row r="149" spans="2:24">
      <c r="B149" t="s">
        <v>404</v>
      </c>
      <c r="C149" s="85" t="s">
        <v>182</v>
      </c>
      <c r="E149" s="53">
        <v>2393848</v>
      </c>
      <c r="F149" s="53"/>
      <c r="G149" s="53">
        <v>60322976725</v>
      </c>
      <c r="H149" s="53"/>
      <c r="I149" s="53">
        <v>-49425692439</v>
      </c>
      <c r="J149" s="53"/>
      <c r="K149" s="53">
        <f t="shared" si="8"/>
        <v>10897284286</v>
      </c>
      <c r="L149" s="53"/>
      <c r="M149" s="53">
        <v>2393848</v>
      </c>
      <c r="N149" s="53"/>
      <c r="O149" s="53">
        <v>60322976725</v>
      </c>
      <c r="P149" s="53"/>
      <c r="Q149" s="53">
        <v>-51107184927</v>
      </c>
      <c r="R149" s="53"/>
      <c r="S149" s="53">
        <f t="shared" si="9"/>
        <v>9215791798</v>
      </c>
      <c r="U149" s="53">
        <v>10897284286</v>
      </c>
      <c r="V149" s="80">
        <f t="shared" si="10"/>
        <v>0</v>
      </c>
      <c r="W149" s="53">
        <v>9215791798</v>
      </c>
      <c r="X149" s="70">
        <f t="shared" si="11"/>
        <v>0</v>
      </c>
    </row>
    <row r="150" spans="2:24">
      <c r="B150" t="s">
        <v>405</v>
      </c>
      <c r="C150" s="85" t="s">
        <v>178</v>
      </c>
      <c r="E150" s="53">
        <v>839524</v>
      </c>
      <c r="F150" s="53"/>
      <c r="G150" s="53">
        <v>4791864558</v>
      </c>
      <c r="H150" s="53"/>
      <c r="I150" s="53">
        <v>-3943789957</v>
      </c>
      <c r="J150" s="53"/>
      <c r="K150" s="53">
        <f t="shared" si="8"/>
        <v>848074601</v>
      </c>
      <c r="L150" s="53"/>
      <c r="M150" s="53">
        <v>839524</v>
      </c>
      <c r="N150" s="53"/>
      <c r="O150" s="53">
        <v>4791864558</v>
      </c>
      <c r="P150" s="53"/>
      <c r="Q150" s="53">
        <v>-3643959544</v>
      </c>
      <c r="R150" s="53"/>
      <c r="S150" s="53">
        <f t="shared" si="9"/>
        <v>1147905014</v>
      </c>
      <c r="U150" s="53">
        <v>848074601</v>
      </c>
      <c r="V150" s="80">
        <f t="shared" si="10"/>
        <v>0</v>
      </c>
      <c r="W150" s="53">
        <v>1147905014</v>
      </c>
      <c r="X150" s="70">
        <f t="shared" si="11"/>
        <v>0</v>
      </c>
    </row>
    <row r="151" spans="2:24">
      <c r="B151" t="s">
        <v>406</v>
      </c>
      <c r="C151" s="85" t="s">
        <v>266</v>
      </c>
      <c r="E151" s="53">
        <v>279079</v>
      </c>
      <c r="F151" s="53"/>
      <c r="G151" s="53">
        <v>8378038097</v>
      </c>
      <c r="H151" s="53"/>
      <c r="I151" s="53">
        <v>-6783113307</v>
      </c>
      <c r="J151" s="53"/>
      <c r="K151" s="53">
        <f t="shared" si="8"/>
        <v>1594924790</v>
      </c>
      <c r="L151" s="53"/>
      <c r="M151" s="53">
        <v>279079</v>
      </c>
      <c r="N151" s="53"/>
      <c r="O151" s="53">
        <v>8378038097</v>
      </c>
      <c r="P151" s="53"/>
      <c r="Q151" s="53">
        <v>-6766503621</v>
      </c>
      <c r="R151" s="53"/>
      <c r="S151" s="53">
        <f t="shared" si="9"/>
        <v>1611534476</v>
      </c>
      <c r="U151" s="53">
        <v>1594924790</v>
      </c>
      <c r="V151" s="80">
        <f t="shared" si="10"/>
        <v>0</v>
      </c>
      <c r="W151" s="53">
        <v>1611534476</v>
      </c>
      <c r="X151" s="70">
        <f t="shared" si="11"/>
        <v>0</v>
      </c>
    </row>
    <row r="152" spans="2:24">
      <c r="B152" t="s">
        <v>407</v>
      </c>
      <c r="C152" s="85" t="s">
        <v>219</v>
      </c>
      <c r="E152" s="53">
        <v>4372339</v>
      </c>
      <c r="F152" s="53"/>
      <c r="G152" s="53">
        <v>26469110624</v>
      </c>
      <c r="H152" s="53"/>
      <c r="I152" s="53">
        <v>-23595056121</v>
      </c>
      <c r="J152" s="53"/>
      <c r="K152" s="53">
        <f t="shared" si="8"/>
        <v>2874054503</v>
      </c>
      <c r="L152" s="53"/>
      <c r="M152" s="53">
        <v>4372339</v>
      </c>
      <c r="N152" s="53"/>
      <c r="O152" s="53">
        <v>26469110624</v>
      </c>
      <c r="P152" s="53"/>
      <c r="Q152" s="53">
        <v>-22242259694</v>
      </c>
      <c r="R152" s="53"/>
      <c r="S152" s="53">
        <f t="shared" si="9"/>
        <v>4226850930</v>
      </c>
      <c r="U152" s="53">
        <v>2874054503</v>
      </c>
      <c r="V152" s="80">
        <f t="shared" si="10"/>
        <v>0</v>
      </c>
      <c r="W152" s="53">
        <v>4226850930</v>
      </c>
      <c r="X152" s="70">
        <f t="shared" si="11"/>
        <v>0</v>
      </c>
    </row>
    <row r="153" spans="2:24">
      <c r="B153" t="s">
        <v>408</v>
      </c>
      <c r="C153" s="85" t="s">
        <v>193</v>
      </c>
      <c r="E153" s="53">
        <v>489616</v>
      </c>
      <c r="F153" s="53"/>
      <c r="G153" s="53">
        <v>15233797168</v>
      </c>
      <c r="H153" s="53"/>
      <c r="I153" s="53">
        <v>-13011954328</v>
      </c>
      <c r="J153" s="53"/>
      <c r="K153" s="53">
        <f t="shared" si="8"/>
        <v>2221842840</v>
      </c>
      <c r="L153" s="53"/>
      <c r="M153" s="53">
        <v>489616</v>
      </c>
      <c r="N153" s="53"/>
      <c r="O153" s="53">
        <v>15233797168</v>
      </c>
      <c r="P153" s="53"/>
      <c r="Q153" s="53">
        <v>-12014651230</v>
      </c>
      <c r="R153" s="53"/>
      <c r="S153" s="53">
        <f t="shared" si="9"/>
        <v>3219145938</v>
      </c>
      <c r="U153" s="53">
        <v>2221842840</v>
      </c>
      <c r="V153" s="80">
        <f t="shared" si="10"/>
        <v>0</v>
      </c>
      <c r="W153" s="53">
        <v>3219145938</v>
      </c>
      <c r="X153" s="70">
        <f t="shared" si="11"/>
        <v>0</v>
      </c>
    </row>
    <row r="154" spans="2:24">
      <c r="B154" t="s">
        <v>409</v>
      </c>
      <c r="C154" s="85" t="s">
        <v>217</v>
      </c>
      <c r="E154" s="53">
        <v>7314125</v>
      </c>
      <c r="F154" s="53"/>
      <c r="G154" s="53">
        <v>17907502473</v>
      </c>
      <c r="H154" s="53"/>
      <c r="I154" s="53">
        <v>-12709343747</v>
      </c>
      <c r="J154" s="53"/>
      <c r="K154" s="53">
        <f t="shared" si="8"/>
        <v>5198158726</v>
      </c>
      <c r="L154" s="53"/>
      <c r="M154" s="53">
        <v>7314125</v>
      </c>
      <c r="N154" s="53"/>
      <c r="O154" s="53">
        <v>17907502473</v>
      </c>
      <c r="P154" s="53"/>
      <c r="Q154" s="53">
        <v>-13174970560</v>
      </c>
      <c r="R154" s="53"/>
      <c r="S154" s="53">
        <f t="shared" si="9"/>
        <v>4732531913</v>
      </c>
      <c r="U154" s="53">
        <v>5198158726</v>
      </c>
      <c r="V154" s="80">
        <f t="shared" si="10"/>
        <v>0</v>
      </c>
      <c r="W154" s="53">
        <v>4732531913</v>
      </c>
      <c r="X154" s="70">
        <f t="shared" si="11"/>
        <v>0</v>
      </c>
    </row>
    <row r="155" spans="2:24">
      <c r="B155" t="s">
        <v>410</v>
      </c>
      <c r="C155" s="85" t="s">
        <v>142</v>
      </c>
      <c r="E155" s="53">
        <v>1468955</v>
      </c>
      <c r="F155" s="53"/>
      <c r="G155" s="53">
        <v>17566383059</v>
      </c>
      <c r="H155" s="53"/>
      <c r="I155" s="53">
        <v>-15459126979</v>
      </c>
      <c r="J155" s="53"/>
      <c r="K155" s="53">
        <f t="shared" si="8"/>
        <v>2107256080</v>
      </c>
      <c r="L155" s="53"/>
      <c r="M155" s="53">
        <v>1468955</v>
      </c>
      <c r="N155" s="53"/>
      <c r="O155" s="53">
        <v>17566383059</v>
      </c>
      <c r="P155" s="53"/>
      <c r="Q155" s="53">
        <v>-17024925044</v>
      </c>
      <c r="R155" s="53"/>
      <c r="S155" s="53">
        <f t="shared" si="9"/>
        <v>541458015</v>
      </c>
      <c r="U155" s="53">
        <v>2107256080</v>
      </c>
      <c r="V155" s="80">
        <f t="shared" si="10"/>
        <v>0</v>
      </c>
      <c r="W155" s="53">
        <v>541458015</v>
      </c>
      <c r="X155" s="70">
        <f t="shared" si="11"/>
        <v>0</v>
      </c>
    </row>
    <row r="156" spans="2:24">
      <c r="B156" t="s">
        <v>411</v>
      </c>
      <c r="C156" s="85" t="s">
        <v>89</v>
      </c>
      <c r="E156" s="53">
        <v>966662</v>
      </c>
      <c r="F156" s="53"/>
      <c r="G156" s="53">
        <v>31911833094</v>
      </c>
      <c r="H156" s="53"/>
      <c r="I156" s="53">
        <v>-36801871825</v>
      </c>
      <c r="J156" s="53"/>
      <c r="K156" s="53">
        <f t="shared" si="8"/>
        <v>-4890038731</v>
      </c>
      <c r="L156" s="53"/>
      <c r="M156" s="53">
        <v>966662</v>
      </c>
      <c r="N156" s="53"/>
      <c r="O156" s="53">
        <v>31911833094</v>
      </c>
      <c r="P156" s="53"/>
      <c r="Q156" s="53">
        <v>-33588045045</v>
      </c>
      <c r="R156" s="53"/>
      <c r="S156" s="53">
        <f t="shared" si="9"/>
        <v>-1676211951</v>
      </c>
      <c r="U156" s="53">
        <v>-4890038731</v>
      </c>
      <c r="V156" s="80">
        <f t="shared" si="10"/>
        <v>0</v>
      </c>
      <c r="W156" s="53">
        <v>-1676211951</v>
      </c>
      <c r="X156" s="70">
        <f t="shared" si="11"/>
        <v>0</v>
      </c>
    </row>
    <row r="157" spans="2:24">
      <c r="B157" t="s">
        <v>412</v>
      </c>
      <c r="C157" s="85" t="s">
        <v>170</v>
      </c>
      <c r="E157" s="53">
        <v>279034</v>
      </c>
      <c r="F157" s="53"/>
      <c r="G157" s="53">
        <v>2540743532</v>
      </c>
      <c r="H157" s="53"/>
      <c r="I157" s="53">
        <v>-2038625133</v>
      </c>
      <c r="J157" s="53"/>
      <c r="K157" s="53">
        <f t="shared" si="8"/>
        <v>502118399</v>
      </c>
      <c r="L157" s="53"/>
      <c r="M157" s="53">
        <v>279034</v>
      </c>
      <c r="N157" s="53"/>
      <c r="O157" s="53">
        <v>2540743532</v>
      </c>
      <c r="P157" s="53"/>
      <c r="Q157" s="53">
        <v>-3847804451</v>
      </c>
      <c r="R157" s="53"/>
      <c r="S157" s="53">
        <f t="shared" si="9"/>
        <v>-1307060919</v>
      </c>
      <c r="U157" s="53">
        <v>502118399</v>
      </c>
      <c r="V157" s="80">
        <f t="shared" si="10"/>
        <v>0</v>
      </c>
      <c r="W157" s="53">
        <v>-1307060919</v>
      </c>
      <c r="X157" s="70">
        <f t="shared" si="11"/>
        <v>0</v>
      </c>
    </row>
    <row r="158" spans="2:24">
      <c r="B158" t="s">
        <v>413</v>
      </c>
      <c r="C158" s="85" t="s">
        <v>268</v>
      </c>
      <c r="E158" s="53">
        <v>2677242</v>
      </c>
      <c r="F158" s="53"/>
      <c r="G158" s="53">
        <v>16766268188</v>
      </c>
      <c r="H158" s="53"/>
      <c r="I158" s="53">
        <v>-14935473766</v>
      </c>
      <c r="J158" s="53"/>
      <c r="K158" s="53">
        <f t="shared" si="8"/>
        <v>1830794422</v>
      </c>
      <c r="L158" s="53"/>
      <c r="M158" s="53">
        <v>2677242</v>
      </c>
      <c r="N158" s="53"/>
      <c r="O158" s="53">
        <v>16766268188</v>
      </c>
      <c r="P158" s="53"/>
      <c r="Q158" s="53">
        <v>-13104000199</v>
      </c>
      <c r="R158" s="53"/>
      <c r="S158" s="53">
        <f t="shared" si="9"/>
        <v>3662267989</v>
      </c>
      <c r="U158" s="53">
        <v>1830794422</v>
      </c>
      <c r="V158" s="80">
        <f t="shared" si="10"/>
        <v>0</v>
      </c>
      <c r="W158" s="53">
        <v>3662267989</v>
      </c>
      <c r="X158" s="70">
        <f t="shared" si="11"/>
        <v>0</v>
      </c>
    </row>
    <row r="159" spans="2:24">
      <c r="B159" t="s">
        <v>414</v>
      </c>
      <c r="C159" s="85" t="s">
        <v>204</v>
      </c>
      <c r="E159" s="53">
        <v>202190</v>
      </c>
      <c r="F159" s="53"/>
      <c r="G159" s="53">
        <v>7818393116</v>
      </c>
      <c r="H159" s="53"/>
      <c r="I159" s="53">
        <v>-7020763003</v>
      </c>
      <c r="J159" s="53"/>
      <c r="K159" s="53">
        <f t="shared" si="8"/>
        <v>797630113</v>
      </c>
      <c r="L159" s="53"/>
      <c r="M159" s="53">
        <v>202190</v>
      </c>
      <c r="N159" s="53"/>
      <c r="O159" s="53">
        <v>7818393116</v>
      </c>
      <c r="P159" s="53"/>
      <c r="Q159" s="53">
        <v>-7203142942</v>
      </c>
      <c r="R159" s="53"/>
      <c r="S159" s="53">
        <f t="shared" si="9"/>
        <v>615250174</v>
      </c>
      <c r="U159" s="53">
        <v>797630113</v>
      </c>
      <c r="V159" s="80">
        <f t="shared" si="10"/>
        <v>0</v>
      </c>
      <c r="W159" s="53">
        <v>615250174</v>
      </c>
      <c r="X159" s="70">
        <f t="shared" si="11"/>
        <v>0</v>
      </c>
    </row>
    <row r="160" spans="2:24">
      <c r="B160" t="s">
        <v>415</v>
      </c>
      <c r="C160" s="85" t="s">
        <v>260</v>
      </c>
      <c r="E160" s="53">
        <v>258399</v>
      </c>
      <c r="F160" s="53"/>
      <c r="G160" s="53">
        <v>4292441502</v>
      </c>
      <c r="H160" s="53"/>
      <c r="I160" s="53">
        <v>-4252704711</v>
      </c>
      <c r="J160" s="53"/>
      <c r="K160" s="53">
        <f t="shared" si="8"/>
        <v>39736791</v>
      </c>
      <c r="L160" s="53"/>
      <c r="M160" s="53">
        <v>258399</v>
      </c>
      <c r="N160" s="53"/>
      <c r="O160" s="53">
        <v>4292441502</v>
      </c>
      <c r="P160" s="53"/>
      <c r="Q160" s="53">
        <v>-4337634737</v>
      </c>
      <c r="R160" s="53"/>
      <c r="S160" s="53">
        <f t="shared" si="9"/>
        <v>-45193235</v>
      </c>
      <c r="U160" s="53">
        <v>39736791</v>
      </c>
      <c r="V160" s="80">
        <f t="shared" si="10"/>
        <v>0</v>
      </c>
      <c r="W160" s="53">
        <v>-45193235</v>
      </c>
      <c r="X160" s="70">
        <f t="shared" si="11"/>
        <v>0</v>
      </c>
    </row>
    <row r="161" spans="2:24">
      <c r="B161" t="s">
        <v>416</v>
      </c>
      <c r="C161" s="85" t="s">
        <v>172</v>
      </c>
      <c r="E161" s="53">
        <v>1000393</v>
      </c>
      <c r="F161" s="53"/>
      <c r="G161" s="53">
        <v>26849897867</v>
      </c>
      <c r="H161" s="53"/>
      <c r="I161" s="53">
        <v>-17600784779</v>
      </c>
      <c r="J161" s="53"/>
      <c r="K161" s="53">
        <f t="shared" si="8"/>
        <v>9249113088</v>
      </c>
      <c r="L161" s="53"/>
      <c r="M161" s="53">
        <v>1000393</v>
      </c>
      <c r="N161" s="53"/>
      <c r="O161" s="53">
        <v>26849897867</v>
      </c>
      <c r="P161" s="53"/>
      <c r="Q161" s="53">
        <v>-9818937089</v>
      </c>
      <c r="R161" s="53"/>
      <c r="S161" s="53">
        <f t="shared" si="9"/>
        <v>17030960778</v>
      </c>
      <c r="U161" s="53">
        <v>9249113088</v>
      </c>
      <c r="V161" s="80">
        <f t="shared" si="10"/>
        <v>0</v>
      </c>
      <c r="W161" s="53">
        <v>17030960778</v>
      </c>
      <c r="X161" s="70">
        <f t="shared" si="11"/>
        <v>0</v>
      </c>
    </row>
    <row r="162" spans="2:24">
      <c r="B162" t="s">
        <v>418</v>
      </c>
      <c r="C162" s="85" t="s">
        <v>115</v>
      </c>
      <c r="E162" s="53">
        <v>597302</v>
      </c>
      <c r="F162" s="53"/>
      <c r="G162" s="53">
        <v>2674241235</v>
      </c>
      <c r="H162" s="53"/>
      <c r="I162" s="53">
        <v>-2257079771</v>
      </c>
      <c r="J162" s="53"/>
      <c r="K162" s="53">
        <f t="shared" si="8"/>
        <v>417161464</v>
      </c>
      <c r="L162" s="53"/>
      <c r="M162" s="53">
        <v>597302</v>
      </c>
      <c r="N162" s="53"/>
      <c r="O162" s="53">
        <v>2674241235</v>
      </c>
      <c r="P162" s="53"/>
      <c r="Q162" s="53">
        <v>-1849085189</v>
      </c>
      <c r="R162" s="53"/>
      <c r="S162" s="53">
        <f t="shared" si="9"/>
        <v>825156046</v>
      </c>
      <c r="U162" s="53">
        <v>417161464</v>
      </c>
      <c r="V162" s="80">
        <f t="shared" si="10"/>
        <v>0</v>
      </c>
      <c r="W162" s="53">
        <v>825156046</v>
      </c>
      <c r="X162" s="70">
        <f t="shared" si="11"/>
        <v>0</v>
      </c>
    </row>
    <row r="163" spans="2:24">
      <c r="B163" t="s">
        <v>419</v>
      </c>
      <c r="C163" s="85" t="s">
        <v>174</v>
      </c>
      <c r="E163" s="53">
        <v>14444345</v>
      </c>
      <c r="F163" s="53"/>
      <c r="G163" s="53">
        <v>24825675586</v>
      </c>
      <c r="H163" s="53"/>
      <c r="I163" s="53">
        <v>-20534345359</v>
      </c>
      <c r="J163" s="53"/>
      <c r="K163" s="53">
        <f t="shared" si="8"/>
        <v>4291330227</v>
      </c>
      <c r="L163" s="53"/>
      <c r="M163" s="53">
        <v>14444345</v>
      </c>
      <c r="N163" s="53"/>
      <c r="O163" s="53">
        <v>24825675586</v>
      </c>
      <c r="P163" s="53"/>
      <c r="Q163" s="53">
        <v>-20752398460</v>
      </c>
      <c r="R163" s="53"/>
      <c r="S163" s="53">
        <f t="shared" si="9"/>
        <v>4073277126</v>
      </c>
      <c r="U163" s="53">
        <v>4291330227</v>
      </c>
      <c r="V163" s="80">
        <f t="shared" si="10"/>
        <v>0</v>
      </c>
      <c r="W163" s="53">
        <v>4073277126</v>
      </c>
      <c r="X163" s="70">
        <f t="shared" si="11"/>
        <v>0</v>
      </c>
    </row>
    <row r="164" spans="2:24">
      <c r="B164" t="s">
        <v>420</v>
      </c>
      <c r="C164" s="85" t="s">
        <v>97</v>
      </c>
      <c r="E164" s="53">
        <v>4200458</v>
      </c>
      <c r="F164" s="53"/>
      <c r="G164" s="53">
        <v>19875214712</v>
      </c>
      <c r="H164" s="53"/>
      <c r="I164" s="53">
        <v>-15931989832</v>
      </c>
      <c r="J164" s="53"/>
      <c r="K164" s="53">
        <f t="shared" si="8"/>
        <v>3943224880</v>
      </c>
      <c r="L164" s="53"/>
      <c r="M164" s="53">
        <v>4200458</v>
      </c>
      <c r="N164" s="53"/>
      <c r="O164" s="53">
        <v>19875214712</v>
      </c>
      <c r="P164" s="53"/>
      <c r="Q164" s="53">
        <v>-14212180749</v>
      </c>
      <c r="R164" s="53"/>
      <c r="S164" s="53">
        <f t="shared" si="9"/>
        <v>5663033963</v>
      </c>
      <c r="U164" s="53">
        <v>3943224880</v>
      </c>
      <c r="V164" s="80">
        <f t="shared" si="10"/>
        <v>0</v>
      </c>
      <c r="W164" s="53">
        <v>5663033963</v>
      </c>
      <c r="X164" s="70">
        <f t="shared" si="11"/>
        <v>0</v>
      </c>
    </row>
    <row r="165" spans="2:24">
      <c r="B165" t="s">
        <v>421</v>
      </c>
      <c r="C165" s="85" t="s">
        <v>154</v>
      </c>
      <c r="E165" s="53">
        <v>224027</v>
      </c>
      <c r="F165" s="53"/>
      <c r="G165" s="53">
        <v>1937438144</v>
      </c>
      <c r="H165" s="53"/>
      <c r="I165" s="53">
        <v>-1873574562</v>
      </c>
      <c r="J165" s="53"/>
      <c r="K165" s="53">
        <f t="shared" si="8"/>
        <v>63863582</v>
      </c>
      <c r="L165" s="53"/>
      <c r="M165" s="53">
        <v>224027</v>
      </c>
      <c r="N165" s="53"/>
      <c r="O165" s="53">
        <v>1937438144</v>
      </c>
      <c r="P165" s="53"/>
      <c r="Q165" s="53">
        <v>-1579770675</v>
      </c>
      <c r="R165" s="53"/>
      <c r="S165" s="53">
        <f t="shared" si="9"/>
        <v>357667469</v>
      </c>
      <c r="U165" s="53">
        <v>63863582</v>
      </c>
      <c r="V165" s="80">
        <f t="shared" si="10"/>
        <v>0</v>
      </c>
      <c r="W165" s="53">
        <v>357667469</v>
      </c>
      <c r="X165" s="70">
        <f t="shared" si="11"/>
        <v>0</v>
      </c>
    </row>
    <row r="166" spans="2:24">
      <c r="B166" t="s">
        <v>422</v>
      </c>
      <c r="C166" s="85" t="s">
        <v>136</v>
      </c>
      <c r="E166" s="53">
        <v>2075239</v>
      </c>
      <c r="F166" s="53"/>
      <c r="G166" s="53">
        <v>3999946288</v>
      </c>
      <c r="H166" s="53"/>
      <c r="I166" s="53">
        <v>-3999946288</v>
      </c>
      <c r="J166" s="53"/>
      <c r="K166" s="53">
        <f t="shared" si="8"/>
        <v>0</v>
      </c>
      <c r="L166" s="53"/>
      <c r="M166" s="53">
        <v>2075239</v>
      </c>
      <c r="N166" s="53"/>
      <c r="O166" s="53">
        <v>3999946288</v>
      </c>
      <c r="P166" s="53"/>
      <c r="Q166" s="53">
        <v>-4886495887</v>
      </c>
      <c r="R166" s="53"/>
      <c r="S166" s="53">
        <f t="shared" si="9"/>
        <v>-886549599</v>
      </c>
      <c r="U166" s="53">
        <v>0</v>
      </c>
      <c r="V166" s="80">
        <f t="shared" si="10"/>
        <v>0</v>
      </c>
      <c r="W166" s="53">
        <v>-886549599</v>
      </c>
      <c r="X166" s="70">
        <f t="shared" si="11"/>
        <v>0</v>
      </c>
    </row>
    <row r="167" spans="2:24">
      <c r="B167" t="s">
        <v>423</v>
      </c>
      <c r="C167" s="85" t="s">
        <v>131</v>
      </c>
      <c r="E167" s="53">
        <v>6709841</v>
      </c>
      <c r="F167" s="53"/>
      <c r="G167" s="53">
        <v>10811936184</v>
      </c>
      <c r="H167" s="53"/>
      <c r="I167" s="53">
        <v>-10250990642</v>
      </c>
      <c r="J167" s="53"/>
      <c r="K167" s="53">
        <f t="shared" si="8"/>
        <v>560945542</v>
      </c>
      <c r="L167" s="53"/>
      <c r="M167" s="53">
        <v>6709841</v>
      </c>
      <c r="N167" s="53"/>
      <c r="O167" s="53">
        <v>10811936184</v>
      </c>
      <c r="P167" s="53"/>
      <c r="Q167" s="53">
        <v>-9918285533</v>
      </c>
      <c r="R167" s="53"/>
      <c r="S167" s="53">
        <f t="shared" si="9"/>
        <v>893650651</v>
      </c>
      <c r="U167" s="53">
        <v>560945542</v>
      </c>
      <c r="V167" s="80">
        <f t="shared" si="10"/>
        <v>0</v>
      </c>
      <c r="W167" s="53">
        <v>893650651</v>
      </c>
      <c r="X167" s="70">
        <f t="shared" si="11"/>
        <v>0</v>
      </c>
    </row>
    <row r="168" spans="2:24">
      <c r="B168" t="s">
        <v>424</v>
      </c>
      <c r="C168" s="85" t="s">
        <v>190</v>
      </c>
      <c r="E168" s="53">
        <v>1745421</v>
      </c>
      <c r="F168" s="53"/>
      <c r="G168" s="53">
        <v>57065325659</v>
      </c>
      <c r="H168" s="53"/>
      <c r="I168" s="53">
        <v>-53396716901</v>
      </c>
      <c r="J168" s="53"/>
      <c r="K168" s="53">
        <f t="shared" si="8"/>
        <v>3668608758</v>
      </c>
      <c r="L168" s="53"/>
      <c r="M168" s="53">
        <v>1745421</v>
      </c>
      <c r="N168" s="53"/>
      <c r="O168" s="53">
        <v>57065325659</v>
      </c>
      <c r="P168" s="53"/>
      <c r="Q168" s="53">
        <v>-55118691184</v>
      </c>
      <c r="R168" s="53"/>
      <c r="S168" s="53">
        <f t="shared" si="9"/>
        <v>1946634475</v>
      </c>
      <c r="U168" s="53">
        <v>3668608758</v>
      </c>
      <c r="V168" s="80">
        <f t="shared" si="10"/>
        <v>0</v>
      </c>
      <c r="W168" s="53">
        <v>1946634475</v>
      </c>
      <c r="X168" s="70">
        <f t="shared" si="11"/>
        <v>0</v>
      </c>
    </row>
    <row r="169" spans="2:24">
      <c r="B169" t="s">
        <v>425</v>
      </c>
      <c r="C169" s="85" t="s">
        <v>96</v>
      </c>
      <c r="E169" s="53">
        <v>1133041</v>
      </c>
      <c r="F169" s="53"/>
      <c r="G169" s="53">
        <v>21917786445</v>
      </c>
      <c r="H169" s="53"/>
      <c r="I169" s="53">
        <v>-19488379859</v>
      </c>
      <c r="J169" s="53"/>
      <c r="K169" s="53">
        <f t="shared" si="8"/>
        <v>2429406586</v>
      </c>
      <c r="L169" s="53"/>
      <c r="M169" s="53">
        <v>1133041</v>
      </c>
      <c r="N169" s="53"/>
      <c r="O169" s="53">
        <v>21917786445</v>
      </c>
      <c r="P169" s="53"/>
      <c r="Q169" s="53">
        <v>-20002923735</v>
      </c>
      <c r="R169" s="53"/>
      <c r="S169" s="53">
        <f t="shared" si="9"/>
        <v>1914862710</v>
      </c>
      <c r="U169" s="53">
        <v>2429406586</v>
      </c>
      <c r="V169" s="80">
        <f t="shared" si="10"/>
        <v>0</v>
      </c>
      <c r="W169" s="53">
        <v>1914862710</v>
      </c>
      <c r="X169" s="70">
        <f t="shared" si="11"/>
        <v>0</v>
      </c>
    </row>
    <row r="170" spans="2:24">
      <c r="B170" t="s">
        <v>426</v>
      </c>
      <c r="C170" s="85" t="s">
        <v>194</v>
      </c>
      <c r="E170" s="53">
        <v>350956</v>
      </c>
      <c r="F170" s="53"/>
      <c r="G170" s="53">
        <v>11460307620</v>
      </c>
      <c r="H170" s="53"/>
      <c r="I170" s="53">
        <v>-11109949177</v>
      </c>
      <c r="J170" s="53"/>
      <c r="K170" s="53">
        <f t="shared" si="8"/>
        <v>350358443</v>
      </c>
      <c r="L170" s="53"/>
      <c r="M170" s="53">
        <v>350956</v>
      </c>
      <c r="N170" s="53"/>
      <c r="O170" s="53">
        <v>11460307620</v>
      </c>
      <c r="P170" s="53"/>
      <c r="Q170" s="53">
        <v>-9781697456</v>
      </c>
      <c r="R170" s="53"/>
      <c r="S170" s="53">
        <f t="shared" si="9"/>
        <v>1678610164</v>
      </c>
      <c r="U170" s="53">
        <v>350358443</v>
      </c>
      <c r="V170" s="80">
        <f t="shared" si="10"/>
        <v>0</v>
      </c>
      <c r="W170" s="53">
        <v>1678610164</v>
      </c>
      <c r="X170" s="70">
        <f t="shared" si="11"/>
        <v>0</v>
      </c>
    </row>
    <row r="171" spans="2:24">
      <c r="B171" t="s">
        <v>427</v>
      </c>
      <c r="C171" s="85" t="s">
        <v>95</v>
      </c>
      <c r="E171" s="53">
        <v>1213542</v>
      </c>
      <c r="F171" s="53"/>
      <c r="G171" s="53">
        <v>14849816745</v>
      </c>
      <c r="H171" s="53"/>
      <c r="I171" s="53">
        <v>-12024320383</v>
      </c>
      <c r="J171" s="53"/>
      <c r="K171" s="53">
        <f t="shared" si="8"/>
        <v>2825496362</v>
      </c>
      <c r="L171" s="53"/>
      <c r="M171" s="53">
        <v>1213542</v>
      </c>
      <c r="N171" s="53"/>
      <c r="O171" s="53">
        <v>14849816745</v>
      </c>
      <c r="P171" s="53"/>
      <c r="Q171" s="53">
        <v>-13165268591</v>
      </c>
      <c r="R171" s="53"/>
      <c r="S171" s="53">
        <f t="shared" si="9"/>
        <v>1684548154</v>
      </c>
      <c r="U171" s="53">
        <v>2825496362</v>
      </c>
      <c r="V171" s="80">
        <f t="shared" si="10"/>
        <v>0</v>
      </c>
      <c r="W171" s="53">
        <v>1684548154</v>
      </c>
      <c r="X171" s="70">
        <f t="shared" si="11"/>
        <v>0</v>
      </c>
    </row>
    <row r="172" spans="2:24">
      <c r="B172" t="s">
        <v>428</v>
      </c>
      <c r="C172" s="85" t="s">
        <v>206</v>
      </c>
      <c r="E172" s="53">
        <v>2542023</v>
      </c>
      <c r="F172" s="53"/>
      <c r="G172" s="53">
        <v>19962493913</v>
      </c>
      <c r="H172" s="53"/>
      <c r="I172" s="53">
        <v>-18573417856</v>
      </c>
      <c r="J172" s="53"/>
      <c r="K172" s="53">
        <f t="shared" si="8"/>
        <v>1389076057</v>
      </c>
      <c r="L172" s="53"/>
      <c r="M172" s="53">
        <v>2542023</v>
      </c>
      <c r="N172" s="53"/>
      <c r="O172" s="53">
        <v>19962493913</v>
      </c>
      <c r="P172" s="53"/>
      <c r="Q172" s="53">
        <v>-18260385684</v>
      </c>
      <c r="R172" s="53"/>
      <c r="S172" s="53">
        <f t="shared" si="9"/>
        <v>1702108229</v>
      </c>
      <c r="U172" s="53">
        <v>1389076057</v>
      </c>
      <c r="V172" s="80">
        <f t="shared" si="10"/>
        <v>0</v>
      </c>
      <c r="W172" s="53">
        <v>1702108229</v>
      </c>
      <c r="X172" s="70">
        <f t="shared" si="11"/>
        <v>0</v>
      </c>
    </row>
    <row r="173" spans="2:24">
      <c r="B173" t="s">
        <v>429</v>
      </c>
      <c r="C173" s="85" t="s">
        <v>177</v>
      </c>
      <c r="E173" s="53">
        <v>1999583</v>
      </c>
      <c r="F173" s="53"/>
      <c r="G173" s="53">
        <v>15603331031</v>
      </c>
      <c r="H173" s="53"/>
      <c r="I173" s="53">
        <v>-13193574029</v>
      </c>
      <c r="J173" s="53"/>
      <c r="K173" s="53">
        <f t="shared" si="8"/>
        <v>2409757002</v>
      </c>
      <c r="L173" s="53"/>
      <c r="M173" s="53">
        <v>1999583</v>
      </c>
      <c r="N173" s="53"/>
      <c r="O173" s="53">
        <v>15603331031</v>
      </c>
      <c r="P173" s="53"/>
      <c r="Q173" s="53">
        <v>-12769858474</v>
      </c>
      <c r="R173" s="53"/>
      <c r="S173" s="53">
        <f t="shared" si="9"/>
        <v>2833472557</v>
      </c>
      <c r="U173" s="53">
        <v>2409757002</v>
      </c>
      <c r="V173" s="80">
        <f t="shared" si="10"/>
        <v>0</v>
      </c>
      <c r="W173" s="53">
        <v>2833472557</v>
      </c>
      <c r="X173" s="70">
        <f t="shared" si="11"/>
        <v>0</v>
      </c>
    </row>
    <row r="174" spans="2:24">
      <c r="B174" t="s">
        <v>430</v>
      </c>
      <c r="C174" s="85" t="s">
        <v>175</v>
      </c>
      <c r="E174" s="53">
        <v>101825</v>
      </c>
      <c r="F174" s="53"/>
      <c r="G174" s="53">
        <v>4064960717</v>
      </c>
      <c r="H174" s="53"/>
      <c r="I174" s="53">
        <v>-3431117192</v>
      </c>
      <c r="J174" s="53"/>
      <c r="K174" s="53">
        <f t="shared" si="8"/>
        <v>633843525</v>
      </c>
      <c r="L174" s="53"/>
      <c r="M174" s="53">
        <v>101825</v>
      </c>
      <c r="N174" s="53"/>
      <c r="O174" s="53">
        <v>4064960717</v>
      </c>
      <c r="P174" s="53"/>
      <c r="Q174" s="53">
        <v>-3444989428</v>
      </c>
      <c r="R174" s="53"/>
      <c r="S174" s="53">
        <f t="shared" si="9"/>
        <v>619971289</v>
      </c>
      <c r="U174" s="53">
        <v>633843525</v>
      </c>
      <c r="V174" s="80">
        <f t="shared" si="10"/>
        <v>0</v>
      </c>
      <c r="W174" s="53">
        <v>619971289</v>
      </c>
      <c r="X174" s="70">
        <f t="shared" si="11"/>
        <v>0</v>
      </c>
    </row>
    <row r="175" spans="2:24">
      <c r="B175" t="s">
        <v>431</v>
      </c>
      <c r="C175" s="85" t="s">
        <v>120</v>
      </c>
      <c r="E175" s="53">
        <v>608875</v>
      </c>
      <c r="F175" s="53"/>
      <c r="G175" s="53">
        <v>23871146526</v>
      </c>
      <c r="H175" s="53"/>
      <c r="I175" s="53">
        <v>-22121869034</v>
      </c>
      <c r="J175" s="53"/>
      <c r="K175" s="53">
        <f t="shared" si="8"/>
        <v>1749277492</v>
      </c>
      <c r="L175" s="53"/>
      <c r="M175" s="53">
        <v>608875</v>
      </c>
      <c r="N175" s="53"/>
      <c r="O175" s="53">
        <v>23871146526</v>
      </c>
      <c r="P175" s="53"/>
      <c r="Q175" s="53">
        <v>-21391887029</v>
      </c>
      <c r="R175" s="53"/>
      <c r="S175" s="53">
        <f t="shared" si="9"/>
        <v>2479259497</v>
      </c>
      <c r="U175" s="53">
        <v>1749277492</v>
      </c>
      <c r="V175" s="80">
        <f t="shared" si="10"/>
        <v>0</v>
      </c>
      <c r="W175" s="53">
        <v>2479259497</v>
      </c>
      <c r="X175" s="70">
        <f t="shared" si="11"/>
        <v>0</v>
      </c>
    </row>
    <row r="176" spans="2:24">
      <c r="B176" t="s">
        <v>432</v>
      </c>
      <c r="C176" s="85" t="s">
        <v>171</v>
      </c>
      <c r="E176" s="53">
        <v>4103625</v>
      </c>
      <c r="F176" s="53"/>
      <c r="G176" s="53">
        <v>28350498601</v>
      </c>
      <c r="H176" s="53"/>
      <c r="I176" s="53">
        <v>-22402784720</v>
      </c>
      <c r="J176" s="53"/>
      <c r="K176" s="53">
        <f t="shared" si="8"/>
        <v>5947713881</v>
      </c>
      <c r="L176" s="53"/>
      <c r="M176" s="53">
        <v>4103625</v>
      </c>
      <c r="N176" s="53"/>
      <c r="O176" s="53">
        <v>28350498601</v>
      </c>
      <c r="P176" s="53"/>
      <c r="Q176" s="53">
        <v>-18128473103</v>
      </c>
      <c r="R176" s="53"/>
      <c r="S176" s="53">
        <f t="shared" si="9"/>
        <v>10222025498</v>
      </c>
      <c r="U176" s="53">
        <v>5947713881</v>
      </c>
      <c r="V176" s="80">
        <f t="shared" si="10"/>
        <v>0</v>
      </c>
      <c r="W176" s="53">
        <v>10222025498</v>
      </c>
      <c r="X176" s="70">
        <f t="shared" si="11"/>
        <v>0</v>
      </c>
    </row>
    <row r="177" spans="2:24">
      <c r="B177" t="s">
        <v>433</v>
      </c>
      <c r="C177" s="85" t="s">
        <v>270</v>
      </c>
      <c r="E177" s="53">
        <v>5977169</v>
      </c>
      <c r="F177" s="53"/>
      <c r="G177" s="53">
        <v>18365500579</v>
      </c>
      <c r="H177" s="53"/>
      <c r="I177" s="53">
        <v>-17562136256</v>
      </c>
      <c r="J177" s="53"/>
      <c r="K177" s="53">
        <f t="shared" si="8"/>
        <v>803364323</v>
      </c>
      <c r="L177" s="53"/>
      <c r="M177" s="53">
        <v>5977169</v>
      </c>
      <c r="N177" s="53"/>
      <c r="O177" s="53">
        <v>18365500579</v>
      </c>
      <c r="P177" s="53"/>
      <c r="Q177" s="53">
        <v>-18005483156</v>
      </c>
      <c r="R177" s="53"/>
      <c r="S177" s="53">
        <f t="shared" si="9"/>
        <v>360017423</v>
      </c>
      <c r="U177" s="53">
        <v>803364323</v>
      </c>
      <c r="V177" s="80">
        <f t="shared" si="10"/>
        <v>0</v>
      </c>
      <c r="W177" s="53">
        <v>360017423</v>
      </c>
      <c r="X177" s="70">
        <f t="shared" si="11"/>
        <v>0</v>
      </c>
    </row>
    <row r="178" spans="2:24">
      <c r="B178" t="s">
        <v>512</v>
      </c>
      <c r="C178" s="85" t="s">
        <v>493</v>
      </c>
      <c r="E178" s="53">
        <v>260661</v>
      </c>
      <c r="F178" s="53"/>
      <c r="G178" s="53">
        <v>5249569963</v>
      </c>
      <c r="H178" s="53"/>
      <c r="I178" s="53">
        <v>-4694260032</v>
      </c>
      <c r="J178" s="53"/>
      <c r="K178" s="53">
        <f t="shared" si="8"/>
        <v>555309931</v>
      </c>
      <c r="L178" s="53"/>
      <c r="M178" s="53">
        <v>260661</v>
      </c>
      <c r="N178" s="53"/>
      <c r="O178" s="53">
        <v>5249569963</v>
      </c>
      <c r="P178" s="53"/>
      <c r="Q178" s="53">
        <v>-4205900292</v>
      </c>
      <c r="R178" s="53"/>
      <c r="S178" s="53">
        <f t="shared" si="9"/>
        <v>1043669671</v>
      </c>
      <c r="U178" s="53">
        <v>555309931</v>
      </c>
      <c r="V178" s="80">
        <f t="shared" si="10"/>
        <v>0</v>
      </c>
      <c r="W178" s="53">
        <v>1043669671</v>
      </c>
      <c r="X178" s="70">
        <f t="shared" si="11"/>
        <v>0</v>
      </c>
    </row>
    <row r="179" spans="2:24">
      <c r="B179" t="s">
        <v>434</v>
      </c>
      <c r="C179" s="85" t="s">
        <v>148</v>
      </c>
      <c r="E179" s="53">
        <v>5933672</v>
      </c>
      <c r="F179" s="53"/>
      <c r="G179" s="53">
        <v>25020871339</v>
      </c>
      <c r="H179" s="53"/>
      <c r="I179" s="53">
        <v>-23727156194</v>
      </c>
      <c r="J179" s="53"/>
      <c r="K179" s="53">
        <f t="shared" si="8"/>
        <v>1293715145</v>
      </c>
      <c r="L179" s="53"/>
      <c r="M179" s="53">
        <v>5933672</v>
      </c>
      <c r="N179" s="53"/>
      <c r="O179" s="53">
        <v>25020871339</v>
      </c>
      <c r="P179" s="53"/>
      <c r="Q179" s="53">
        <v>-21744995380</v>
      </c>
      <c r="R179" s="53"/>
      <c r="S179" s="53">
        <f t="shared" si="9"/>
        <v>3275875959</v>
      </c>
      <c r="U179" s="53">
        <v>1293715145</v>
      </c>
      <c r="V179" s="80">
        <f t="shared" si="10"/>
        <v>0</v>
      </c>
      <c r="W179" s="53">
        <v>3275875959</v>
      </c>
      <c r="X179" s="70">
        <f t="shared" si="11"/>
        <v>0</v>
      </c>
    </row>
    <row r="180" spans="2:24">
      <c r="B180" t="s">
        <v>435</v>
      </c>
      <c r="C180" s="85" t="s">
        <v>112</v>
      </c>
      <c r="E180" s="53">
        <v>1260954</v>
      </c>
      <c r="F180" s="53"/>
      <c r="G180" s="53">
        <v>20581670739</v>
      </c>
      <c r="H180" s="53"/>
      <c r="I180" s="53">
        <v>-17880912847</v>
      </c>
      <c r="J180" s="53"/>
      <c r="K180" s="53">
        <f t="shared" si="8"/>
        <v>2700757892</v>
      </c>
      <c r="L180" s="53"/>
      <c r="M180" s="53">
        <v>1260954</v>
      </c>
      <c r="N180" s="53"/>
      <c r="O180" s="53">
        <v>20581670739</v>
      </c>
      <c r="P180" s="53"/>
      <c r="Q180" s="53">
        <v>-22961745140</v>
      </c>
      <c r="R180" s="53"/>
      <c r="S180" s="53">
        <f t="shared" si="9"/>
        <v>-2380074401</v>
      </c>
      <c r="U180" s="53">
        <v>2700757892</v>
      </c>
      <c r="V180" s="80">
        <f t="shared" si="10"/>
        <v>0</v>
      </c>
      <c r="W180" s="53">
        <v>-2380074401</v>
      </c>
      <c r="X180" s="70">
        <f t="shared" si="11"/>
        <v>0</v>
      </c>
    </row>
    <row r="181" spans="2:24">
      <c r="B181" t="s">
        <v>436</v>
      </c>
      <c r="C181" s="85" t="s">
        <v>167</v>
      </c>
      <c r="E181" s="53">
        <v>2835240</v>
      </c>
      <c r="F181" s="53"/>
      <c r="G181" s="53">
        <v>13511267328</v>
      </c>
      <c r="H181" s="53"/>
      <c r="I181" s="53">
        <v>-10876101712</v>
      </c>
      <c r="J181" s="53"/>
      <c r="K181" s="53">
        <f t="shared" si="8"/>
        <v>2635165616</v>
      </c>
      <c r="L181" s="53"/>
      <c r="M181" s="53">
        <v>2835240</v>
      </c>
      <c r="N181" s="53"/>
      <c r="O181" s="53">
        <v>13511267328</v>
      </c>
      <c r="P181" s="53"/>
      <c r="Q181" s="53">
        <v>-10785263364</v>
      </c>
      <c r="R181" s="53"/>
      <c r="S181" s="53">
        <f t="shared" si="9"/>
        <v>2726003964</v>
      </c>
      <c r="U181" s="53">
        <v>2635165616</v>
      </c>
      <c r="V181" s="80">
        <f t="shared" si="10"/>
        <v>0</v>
      </c>
      <c r="W181" s="53">
        <v>2726003964</v>
      </c>
      <c r="X181" s="70">
        <f t="shared" si="11"/>
        <v>0</v>
      </c>
    </row>
    <row r="182" spans="2:24">
      <c r="B182" t="s">
        <v>437</v>
      </c>
      <c r="C182" s="85" t="s">
        <v>151</v>
      </c>
      <c r="E182" s="53">
        <v>877716</v>
      </c>
      <c r="F182" s="53"/>
      <c r="G182" s="53">
        <v>8655136414</v>
      </c>
      <c r="H182" s="53"/>
      <c r="I182" s="53">
        <v>-7845394140</v>
      </c>
      <c r="J182" s="53"/>
      <c r="K182" s="53">
        <f t="shared" si="8"/>
        <v>809742274</v>
      </c>
      <c r="L182" s="53"/>
      <c r="M182" s="53">
        <v>877716</v>
      </c>
      <c r="N182" s="53"/>
      <c r="O182" s="53">
        <v>8655136414</v>
      </c>
      <c r="P182" s="53"/>
      <c r="Q182" s="53">
        <v>-10303996967</v>
      </c>
      <c r="R182" s="53"/>
      <c r="S182" s="53">
        <f t="shared" si="9"/>
        <v>-1648860553</v>
      </c>
      <c r="U182" s="53">
        <v>809742274</v>
      </c>
      <c r="V182" s="80">
        <f t="shared" si="10"/>
        <v>0</v>
      </c>
      <c r="W182" s="53">
        <v>-1648860553</v>
      </c>
      <c r="X182" s="70">
        <f t="shared" si="11"/>
        <v>0</v>
      </c>
    </row>
    <row r="183" spans="2:24">
      <c r="B183" t="s">
        <v>513</v>
      </c>
      <c r="C183" s="85" t="s">
        <v>494</v>
      </c>
      <c r="E183" s="53">
        <v>1051819</v>
      </c>
      <c r="F183" s="53"/>
      <c r="G183" s="53">
        <v>30216703566</v>
      </c>
      <c r="H183" s="53"/>
      <c r="I183" s="53">
        <v>-28153916949</v>
      </c>
      <c r="J183" s="53"/>
      <c r="K183" s="53">
        <f t="shared" si="8"/>
        <v>2062786617</v>
      </c>
      <c r="L183" s="53"/>
      <c r="M183" s="53">
        <v>1051819</v>
      </c>
      <c r="N183" s="53"/>
      <c r="O183" s="53">
        <v>30216703566</v>
      </c>
      <c r="P183" s="53"/>
      <c r="Q183" s="53">
        <v>-26632164576</v>
      </c>
      <c r="R183" s="53"/>
      <c r="S183" s="53">
        <f t="shared" si="9"/>
        <v>3584538990</v>
      </c>
      <c r="U183" s="53">
        <v>2062786617</v>
      </c>
      <c r="V183" s="80">
        <f t="shared" si="10"/>
        <v>0</v>
      </c>
      <c r="W183" s="53">
        <v>3584538990</v>
      </c>
      <c r="X183" s="70">
        <f t="shared" si="11"/>
        <v>0</v>
      </c>
    </row>
    <row r="184" spans="2:24">
      <c r="B184" t="s">
        <v>438</v>
      </c>
      <c r="C184" s="85" t="s">
        <v>139</v>
      </c>
      <c r="E184" s="53">
        <v>3605262</v>
      </c>
      <c r="F184" s="53"/>
      <c r="G184" s="53">
        <v>28097075821</v>
      </c>
      <c r="H184" s="53"/>
      <c r="I184" s="53">
        <v>-26443988704</v>
      </c>
      <c r="J184" s="53"/>
      <c r="K184" s="53">
        <f t="shared" si="8"/>
        <v>1653087117</v>
      </c>
      <c r="L184" s="53"/>
      <c r="M184" s="53">
        <v>3605262</v>
      </c>
      <c r="N184" s="53"/>
      <c r="O184" s="53">
        <v>28097075821</v>
      </c>
      <c r="P184" s="53"/>
      <c r="Q184" s="53">
        <v>-25381409136</v>
      </c>
      <c r="R184" s="53"/>
      <c r="S184" s="53">
        <f t="shared" si="9"/>
        <v>2715666685</v>
      </c>
      <c r="U184" s="53">
        <v>1653087117</v>
      </c>
      <c r="V184" s="80">
        <f t="shared" si="10"/>
        <v>0</v>
      </c>
      <c r="W184" s="53">
        <v>2715666685</v>
      </c>
      <c r="X184" s="70">
        <f t="shared" si="11"/>
        <v>0</v>
      </c>
    </row>
    <row r="185" spans="2:24">
      <c r="B185" t="s">
        <v>439</v>
      </c>
      <c r="C185" s="85" t="s">
        <v>133</v>
      </c>
      <c r="E185" s="53">
        <v>2639955</v>
      </c>
      <c r="F185" s="53"/>
      <c r="G185" s="53">
        <v>13777298161</v>
      </c>
      <c r="H185" s="53"/>
      <c r="I185" s="53">
        <v>-11599835369</v>
      </c>
      <c r="J185" s="53"/>
      <c r="K185" s="53">
        <f t="shared" si="8"/>
        <v>2177462792</v>
      </c>
      <c r="L185" s="53"/>
      <c r="M185" s="53">
        <v>2639955</v>
      </c>
      <c r="N185" s="53"/>
      <c r="O185" s="53">
        <v>13777298161</v>
      </c>
      <c r="P185" s="53"/>
      <c r="Q185" s="53">
        <v>-11643427893</v>
      </c>
      <c r="R185" s="53"/>
      <c r="S185" s="53">
        <f t="shared" si="9"/>
        <v>2133870268</v>
      </c>
      <c r="U185" s="53">
        <v>2177462792</v>
      </c>
      <c r="V185" s="80">
        <f t="shared" si="10"/>
        <v>0</v>
      </c>
      <c r="W185" s="53">
        <v>2133870268</v>
      </c>
      <c r="X185" s="70">
        <f t="shared" si="11"/>
        <v>0</v>
      </c>
    </row>
    <row r="186" spans="2:24" ht="22.2" thickBot="1">
      <c r="C186" s="5" t="s">
        <v>2</v>
      </c>
      <c r="D186" s="5"/>
      <c r="E186" s="5"/>
      <c r="F186" s="5"/>
      <c r="G186" s="203">
        <f>SUM(G7:G185)</f>
        <v>3674169493535</v>
      </c>
      <c r="H186" s="132"/>
      <c r="I186" s="203">
        <f>SUM(I7:I185)</f>
        <v>-3306111777333</v>
      </c>
      <c r="J186" s="86"/>
      <c r="K186" s="204">
        <f>SUM(K7:K185)</f>
        <v>368057716202</v>
      </c>
      <c r="L186" s="86"/>
      <c r="M186" s="5"/>
      <c r="N186" s="86"/>
      <c r="O186" s="203">
        <f>SUM(O7:O185)</f>
        <v>3674169493535</v>
      </c>
      <c r="P186" s="132"/>
      <c r="Q186" s="203">
        <f>SUM(Q7:Q185)</f>
        <v>-3208036225821</v>
      </c>
      <c r="R186" s="86"/>
      <c r="S186" s="204">
        <f>SUM(S7:S185)</f>
        <v>466133267714</v>
      </c>
    </row>
    <row r="187" spans="2:24" ht="21.6" thickTop="1">
      <c r="C187" s="5"/>
      <c r="D187" s="5"/>
    </row>
    <row r="188" spans="2:24">
      <c r="C188" s="5"/>
      <c r="D188" s="5"/>
    </row>
    <row r="189" spans="2:24" s="179" customFormat="1">
      <c r="B189" s="180"/>
      <c r="C189" s="319" t="s">
        <v>472</v>
      </c>
      <c r="D189" s="320"/>
      <c r="E189" s="320"/>
      <c r="F189" s="320"/>
      <c r="G189" s="320"/>
      <c r="H189" s="320"/>
      <c r="I189" s="320"/>
      <c r="J189" s="320"/>
      <c r="K189" s="320"/>
      <c r="L189" s="320"/>
      <c r="M189" s="320"/>
      <c r="N189" s="320"/>
      <c r="O189" s="320"/>
      <c r="P189" s="320"/>
      <c r="Q189" s="320"/>
      <c r="R189" s="320"/>
      <c r="S189" s="321"/>
      <c r="T189" s="178"/>
      <c r="U189" s="178"/>
      <c r="V189" s="178"/>
    </row>
    <row r="190" spans="2:24" s="179" customFormat="1" ht="18" hidden="1">
      <c r="B190" s="40">
        <v>1</v>
      </c>
      <c r="C190" s="40">
        <v>2</v>
      </c>
      <c r="D190" s="40">
        <v>3</v>
      </c>
      <c r="E190" s="40">
        <v>4</v>
      </c>
      <c r="F190" s="40">
        <v>5</v>
      </c>
      <c r="G190" s="40">
        <v>6</v>
      </c>
      <c r="H190" s="40">
        <v>7</v>
      </c>
      <c r="I190" s="40">
        <v>8</v>
      </c>
      <c r="J190" s="40">
        <v>9</v>
      </c>
      <c r="K190" s="40">
        <v>10</v>
      </c>
      <c r="L190" s="40">
        <v>11</v>
      </c>
      <c r="M190" s="40">
        <v>12</v>
      </c>
      <c r="N190" s="40">
        <v>13</v>
      </c>
      <c r="O190" s="40">
        <v>14</v>
      </c>
      <c r="P190" s="40">
        <v>15</v>
      </c>
      <c r="Q190" s="40">
        <v>16</v>
      </c>
      <c r="R190" s="40">
        <v>17</v>
      </c>
      <c r="S190" s="40">
        <v>18</v>
      </c>
      <c r="T190" s="40"/>
      <c r="U190" s="178"/>
      <c r="V190" s="178"/>
    </row>
    <row r="191" spans="2:24" hidden="1">
      <c r="K191" s="2">
        <v>0</v>
      </c>
      <c r="S191" s="79">
        <v>0</v>
      </c>
    </row>
    <row r="192" spans="2:24" s="82" customFormat="1" ht="24.6" hidden="1">
      <c r="K192" s="82" t="s">
        <v>81</v>
      </c>
      <c r="O192" s="82">
        <v>0</v>
      </c>
      <c r="S192" s="82">
        <v>0</v>
      </c>
    </row>
    <row r="193" spans="2:24" s="82" customFormat="1" ht="24.6" hidden="1">
      <c r="G193" s="82">
        <v>0</v>
      </c>
      <c r="K193" s="82">
        <v>0</v>
      </c>
      <c r="O193" s="82">
        <v>0</v>
      </c>
      <c r="S193" s="82">
        <v>0</v>
      </c>
    </row>
    <row r="194" spans="2:24" s="82" customFormat="1" ht="24.6" hidden="1"/>
    <row r="195" spans="2:24" hidden="1">
      <c r="I195" s="258">
        <f>-(8421552-0)</f>
        <v>-8421552</v>
      </c>
    </row>
    <row r="196" spans="2:24" hidden="1">
      <c r="I196" s="258">
        <f>-(138375640-0)</f>
        <v>-138375640</v>
      </c>
    </row>
    <row r="197" spans="2:24" ht="21.6" hidden="1">
      <c r="I197" s="258">
        <f>(176127828-0)</f>
        <v>176127828</v>
      </c>
      <c r="O197" s="176"/>
    </row>
    <row r="198" spans="2:24" hidden="1">
      <c r="I198" s="258">
        <f>-(428316-0)</f>
        <v>-428316</v>
      </c>
    </row>
    <row r="199" spans="2:24" hidden="1"/>
    <row r="200" spans="2:24" hidden="1"/>
    <row r="201" spans="2:24" hidden="1">
      <c r="B201"/>
      <c r="C201" s="85" t="s">
        <v>274</v>
      </c>
      <c r="E201" s="258">
        <v>0</v>
      </c>
      <c r="F201" s="258"/>
      <c r="G201" s="258">
        <v>0</v>
      </c>
      <c r="H201" s="258"/>
      <c r="I201" s="258">
        <f>-(8421552-8421552)</f>
        <v>0</v>
      </c>
      <c r="J201" s="258"/>
      <c r="K201" s="258">
        <f t="shared" ref="K201:K206" si="12">G201+I201</f>
        <v>0</v>
      </c>
      <c r="L201" s="53"/>
      <c r="M201" s="53">
        <v>0</v>
      </c>
      <c r="N201" s="53"/>
      <c r="O201" s="53">
        <v>0</v>
      </c>
      <c r="P201" s="53"/>
      <c r="Q201" s="53">
        <v>0</v>
      </c>
      <c r="R201" s="53"/>
      <c r="S201" s="53">
        <f t="shared" ref="S201:S206" si="13">O201+Q201</f>
        <v>0</v>
      </c>
      <c r="U201" s="53">
        <v>-8421552</v>
      </c>
      <c r="V201" s="80">
        <f t="shared" ref="V201:V206" si="14">U201-K201</f>
        <v>-8421552</v>
      </c>
      <c r="W201" s="53">
        <v>0</v>
      </c>
      <c r="X201" s="70">
        <f t="shared" ref="X201:X206" si="15">S201-W201</f>
        <v>0</v>
      </c>
    </row>
    <row r="202" spans="2:24" hidden="1">
      <c r="B202"/>
      <c r="C202" s="85" t="s">
        <v>183</v>
      </c>
      <c r="E202" s="258">
        <v>0</v>
      </c>
      <c r="F202" s="258"/>
      <c r="G202" s="258">
        <v>0</v>
      </c>
      <c r="H202" s="258"/>
      <c r="I202" s="258">
        <f>-(138375640-138375640)</f>
        <v>0</v>
      </c>
      <c r="J202" s="258"/>
      <c r="K202" s="258">
        <f t="shared" si="12"/>
        <v>0</v>
      </c>
      <c r="L202" s="53"/>
      <c r="M202" s="53">
        <v>0</v>
      </c>
      <c r="N202" s="53"/>
      <c r="O202" s="53">
        <v>0</v>
      </c>
      <c r="P202" s="53"/>
      <c r="Q202" s="53">
        <v>0</v>
      </c>
      <c r="R202" s="53"/>
      <c r="S202" s="53">
        <f t="shared" si="13"/>
        <v>0</v>
      </c>
      <c r="U202" s="53">
        <v>-138375640</v>
      </c>
      <c r="V202" s="80">
        <f t="shared" si="14"/>
        <v>-138375640</v>
      </c>
      <c r="W202" s="53">
        <v>0</v>
      </c>
      <c r="X202" s="70">
        <f t="shared" si="15"/>
        <v>0</v>
      </c>
    </row>
    <row r="203" spans="2:24" hidden="1">
      <c r="B203"/>
      <c r="C203" s="85" t="s">
        <v>192</v>
      </c>
      <c r="E203" s="258">
        <v>0</v>
      </c>
      <c r="F203" s="258"/>
      <c r="G203" s="258">
        <v>0</v>
      </c>
      <c r="H203" s="258"/>
      <c r="I203" s="258">
        <f>(176127828-176127828)</f>
        <v>0</v>
      </c>
      <c r="J203" s="258"/>
      <c r="K203" s="258">
        <f t="shared" si="12"/>
        <v>0</v>
      </c>
      <c r="L203" s="53"/>
      <c r="M203" s="53">
        <v>0</v>
      </c>
      <c r="N203" s="53"/>
      <c r="O203" s="53">
        <v>0</v>
      </c>
      <c r="P203" s="53"/>
      <c r="Q203" s="53">
        <v>0</v>
      </c>
      <c r="R203" s="53"/>
      <c r="S203" s="53">
        <f t="shared" si="13"/>
        <v>0</v>
      </c>
      <c r="U203" s="53">
        <v>176127828</v>
      </c>
      <c r="V203" s="80">
        <f t="shared" si="14"/>
        <v>176127828</v>
      </c>
      <c r="W203" s="53">
        <v>0</v>
      </c>
      <c r="X203" s="70">
        <f t="shared" si="15"/>
        <v>0</v>
      </c>
    </row>
    <row r="204" spans="2:24" hidden="1">
      <c r="B204"/>
      <c r="C204" s="85" t="s">
        <v>203</v>
      </c>
      <c r="E204" s="258">
        <v>0</v>
      </c>
      <c r="F204" s="258"/>
      <c r="G204" s="258">
        <v>0</v>
      </c>
      <c r="H204" s="258"/>
      <c r="I204" s="258">
        <f>-(428316-428316)</f>
        <v>0</v>
      </c>
      <c r="J204" s="258"/>
      <c r="K204" s="258">
        <f t="shared" si="12"/>
        <v>0</v>
      </c>
      <c r="L204" s="53"/>
      <c r="M204" s="53">
        <v>0</v>
      </c>
      <c r="N204" s="53"/>
      <c r="O204" s="53">
        <v>0</v>
      </c>
      <c r="P204" s="53"/>
      <c r="Q204" s="53">
        <v>0</v>
      </c>
      <c r="R204" s="53"/>
      <c r="S204" s="53">
        <f t="shared" si="13"/>
        <v>0</v>
      </c>
      <c r="U204" s="53">
        <v>-428316</v>
      </c>
      <c r="V204" s="80">
        <f t="shared" si="14"/>
        <v>-428316</v>
      </c>
      <c r="W204" s="53">
        <v>0</v>
      </c>
      <c r="X204" s="70">
        <f t="shared" si="15"/>
        <v>0</v>
      </c>
    </row>
    <row r="205" spans="2:24" hidden="1">
      <c r="B205"/>
      <c r="C205" s="85" t="s">
        <v>442</v>
      </c>
      <c r="E205" s="53">
        <v>0</v>
      </c>
      <c r="F205" s="53"/>
      <c r="G205" s="53">
        <v>0</v>
      </c>
      <c r="H205" s="53"/>
      <c r="I205" s="53">
        <v>0</v>
      </c>
      <c r="J205" s="53"/>
      <c r="K205" s="53">
        <f t="shared" si="12"/>
        <v>0</v>
      </c>
      <c r="L205" s="53"/>
      <c r="M205" s="258">
        <v>0</v>
      </c>
      <c r="N205" s="258"/>
      <c r="O205" s="258">
        <v>0</v>
      </c>
      <c r="P205" s="258"/>
      <c r="Q205" s="258">
        <f>-(41891-41891)</f>
        <v>0</v>
      </c>
      <c r="R205" s="258"/>
      <c r="S205" s="258">
        <f t="shared" si="13"/>
        <v>0</v>
      </c>
      <c r="U205" s="53">
        <v>0</v>
      </c>
      <c r="V205" s="80">
        <f t="shared" si="14"/>
        <v>0</v>
      </c>
      <c r="W205" s="53">
        <v>-41891</v>
      </c>
      <c r="X205" s="70">
        <f t="shared" si="15"/>
        <v>41891</v>
      </c>
    </row>
    <row r="206" spans="2:24" hidden="1">
      <c r="B206"/>
      <c r="C206" s="85" t="s">
        <v>456</v>
      </c>
      <c r="E206" s="53">
        <v>0</v>
      </c>
      <c r="F206" s="53"/>
      <c r="G206" s="53">
        <v>0</v>
      </c>
      <c r="H206" s="53"/>
      <c r="I206" s="53">
        <v>0</v>
      </c>
      <c r="J206" s="53"/>
      <c r="K206" s="53">
        <f t="shared" si="12"/>
        <v>0</v>
      </c>
      <c r="L206" s="53"/>
      <c r="M206" s="258">
        <v>0</v>
      </c>
      <c r="N206" s="258"/>
      <c r="O206" s="258">
        <v>0</v>
      </c>
      <c r="P206" s="258"/>
      <c r="Q206" s="258">
        <f>-(22135-22135)</f>
        <v>0</v>
      </c>
      <c r="R206" s="258"/>
      <c r="S206" s="258">
        <f t="shared" si="13"/>
        <v>0</v>
      </c>
      <c r="U206" s="53">
        <v>0</v>
      </c>
      <c r="V206" s="80">
        <f t="shared" si="14"/>
        <v>0</v>
      </c>
      <c r="W206" s="53">
        <v>-22135</v>
      </c>
      <c r="X206" s="70">
        <f t="shared" si="15"/>
        <v>22135</v>
      </c>
    </row>
  </sheetData>
  <autoFilter ref="C6:S6" xr:uid="{00000000-0009-0000-0000-000008000000}">
    <sortState xmlns:xlrd2="http://schemas.microsoft.com/office/spreadsheetml/2017/richdata2" ref="C7:S191">
      <sortCondition ref="C6"/>
    </sortState>
  </autoFilter>
  <mergeCells count="7">
    <mergeCell ref="C189:S189"/>
    <mergeCell ref="E5:K5"/>
    <mergeCell ref="M5:S5"/>
    <mergeCell ref="C4:J4"/>
    <mergeCell ref="C1:S1"/>
    <mergeCell ref="C2:S2"/>
    <mergeCell ref="C3:S3"/>
  </mergeCells>
  <printOptions horizontalCentered="1"/>
  <pageMargins left="0.25" right="0.25" top="0.75" bottom="0.75" header="0.3" footer="0.3"/>
  <pageSetup paperSize="9" scale="6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Y221"/>
  <sheetViews>
    <sheetView rightToLeft="1" view="pageBreakPreview" topLeftCell="A190" zoomScale="50" zoomScaleNormal="100" zoomScaleSheetLayoutView="50" workbookViewId="0">
      <selection activeCell="I21" sqref="H21:I21"/>
    </sheetView>
  </sheetViews>
  <sheetFormatPr defaultColWidth="9.109375" defaultRowHeight="21"/>
  <cols>
    <col min="1" max="1" width="2.109375" style="53" customWidth="1"/>
    <col min="2" max="2" width="11.5546875" style="53" hidden="1" customWidth="1"/>
    <col min="3" max="3" width="49.88671875" style="7" customWidth="1"/>
    <col min="4" max="4" width="1.33203125" style="7" customWidth="1"/>
    <col min="5" max="5" width="26.5546875" style="194" customWidth="1"/>
    <col min="6" max="6" width="1" style="7" customWidth="1"/>
    <col min="7" max="7" width="29.88671875" style="195" bestFit="1" customWidth="1"/>
    <col min="8" max="8" width="1.44140625" style="195" customWidth="1"/>
    <col min="9" max="9" width="26.5546875" style="195" customWidth="1"/>
    <col min="10" max="10" width="1" style="196" customWidth="1"/>
    <col min="11" max="11" width="28.44140625" style="196" customWidth="1"/>
    <col min="12" max="12" width="2" style="196" customWidth="1"/>
    <col min="13" max="13" width="28.5546875" style="197" customWidth="1"/>
    <col min="14" max="14" width="1.5546875" style="7" customWidth="1"/>
    <col min="15" max="15" width="28.44140625" style="194" bestFit="1" customWidth="1"/>
    <col min="16" max="16" width="0.88671875" style="194" customWidth="1"/>
    <col min="17" max="17" width="28.44140625" style="195" bestFit="1" customWidth="1"/>
    <col min="18" max="18" width="1.6640625" style="195" customWidth="1"/>
    <col min="19" max="19" width="28.44140625" style="195" bestFit="1" customWidth="1"/>
    <col min="20" max="20" width="0.88671875" style="195" customWidth="1"/>
    <col min="21" max="21" width="27.109375" style="195" customWidth="1"/>
    <col min="22" max="22" width="1.44140625" style="195" customWidth="1"/>
    <col min="23" max="23" width="29.88671875" style="197" customWidth="1"/>
    <col min="24" max="24" width="20.44140625" style="7" customWidth="1"/>
    <col min="25" max="25" width="17.33203125" style="7" customWidth="1"/>
    <col min="26" max="16384" width="9.109375" style="7"/>
  </cols>
  <sheetData>
    <row r="1" spans="1:25" ht="27.6">
      <c r="C1" s="323" t="s">
        <v>84</v>
      </c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3"/>
      <c r="Q1" s="323"/>
      <c r="R1" s="323"/>
      <c r="S1" s="323"/>
      <c r="T1" s="323"/>
      <c r="U1" s="323"/>
      <c r="V1" s="323"/>
      <c r="W1" s="323"/>
    </row>
    <row r="2" spans="1:25" ht="27.6">
      <c r="C2" s="323" t="s">
        <v>53</v>
      </c>
      <c r="D2" s="323"/>
      <c r="E2" s="323"/>
      <c r="F2" s="323"/>
      <c r="G2" s="323"/>
      <c r="H2" s="323"/>
      <c r="I2" s="323"/>
      <c r="J2" s="323"/>
      <c r="K2" s="323"/>
      <c r="L2" s="323"/>
      <c r="M2" s="323"/>
      <c r="N2" s="323"/>
      <c r="O2" s="323"/>
      <c r="P2" s="323"/>
      <c r="Q2" s="323"/>
      <c r="R2" s="323"/>
      <c r="S2" s="323"/>
      <c r="T2" s="323"/>
      <c r="U2" s="323"/>
      <c r="V2" s="323"/>
      <c r="W2" s="323"/>
    </row>
    <row r="3" spans="1:25" ht="27.6">
      <c r="C3" s="323" t="str">
        <f>' سهام'!A3</f>
        <v>برای ماه منتهی به 1401/10/30</v>
      </c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3"/>
      <c r="O3" s="323"/>
      <c r="P3" s="323"/>
      <c r="Q3" s="323"/>
      <c r="R3" s="323"/>
      <c r="S3" s="323"/>
      <c r="T3" s="323"/>
      <c r="U3" s="323"/>
      <c r="V3" s="323"/>
      <c r="W3" s="323"/>
    </row>
    <row r="5" spans="1:25" s="164" customFormat="1" ht="25.2">
      <c r="A5" s="53"/>
      <c r="B5" s="53"/>
      <c r="C5" s="282" t="s">
        <v>28</v>
      </c>
      <c r="D5" s="282"/>
      <c r="E5" s="282"/>
      <c r="F5" s="282"/>
      <c r="G5" s="282"/>
      <c r="H5" s="282"/>
      <c r="I5" s="282"/>
      <c r="J5" s="282"/>
      <c r="K5" s="282"/>
      <c r="L5" s="282"/>
      <c r="M5" s="282"/>
      <c r="N5" s="282"/>
      <c r="O5" s="282"/>
      <c r="P5" s="282"/>
      <c r="Q5" s="282"/>
      <c r="R5" s="282"/>
      <c r="S5" s="282"/>
      <c r="T5" s="282"/>
      <c r="U5" s="282"/>
      <c r="V5" s="282"/>
      <c r="W5" s="282"/>
    </row>
    <row r="6" spans="1:25" s="164" customFormat="1" ht="9.75" customHeight="1">
      <c r="A6" s="53"/>
      <c r="B6" s="53"/>
      <c r="E6" s="87"/>
      <c r="G6" s="183"/>
      <c r="H6" s="183"/>
      <c r="I6" s="183"/>
      <c r="J6" s="184"/>
      <c r="K6" s="184"/>
      <c r="L6" s="184"/>
      <c r="M6" s="185"/>
      <c r="O6" s="87"/>
      <c r="P6" s="87"/>
      <c r="Q6" s="183"/>
      <c r="R6" s="183"/>
      <c r="S6" s="183"/>
      <c r="T6" s="183"/>
      <c r="U6" s="183"/>
      <c r="V6" s="183"/>
      <c r="W6" s="185"/>
    </row>
    <row r="7" spans="1:25" s="164" customFormat="1" ht="27" customHeight="1" thickBot="1">
      <c r="A7" s="53"/>
      <c r="B7" s="53"/>
      <c r="C7" s="186"/>
      <c r="D7" s="187"/>
      <c r="E7" s="329" t="str">
        <f>'سود اوراق بهادار و سپرده بانکی'!G5</f>
        <v>طی دی ماه</v>
      </c>
      <c r="F7" s="329"/>
      <c r="G7" s="329"/>
      <c r="H7" s="329"/>
      <c r="I7" s="329"/>
      <c r="J7" s="329"/>
      <c r="K7" s="329"/>
      <c r="L7" s="329"/>
      <c r="M7" s="329"/>
      <c r="N7" s="187"/>
      <c r="O7" s="329" t="s">
        <v>536</v>
      </c>
      <c r="P7" s="329"/>
      <c r="Q7" s="329"/>
      <c r="R7" s="329"/>
      <c r="S7" s="329"/>
      <c r="T7" s="329"/>
      <c r="U7" s="329"/>
      <c r="V7" s="329"/>
      <c r="W7" s="329"/>
    </row>
    <row r="8" spans="1:25" s="60" customFormat="1" ht="24.75" customHeight="1">
      <c r="A8" s="53"/>
      <c r="B8" s="53"/>
      <c r="C8" s="338" t="s">
        <v>24</v>
      </c>
      <c r="D8" s="338"/>
      <c r="E8" s="324" t="s">
        <v>12</v>
      </c>
      <c r="F8" s="340"/>
      <c r="G8" s="326" t="s">
        <v>13</v>
      </c>
      <c r="H8" s="333"/>
      <c r="I8" s="326" t="s">
        <v>14</v>
      </c>
      <c r="J8" s="336"/>
      <c r="K8" s="328" t="s">
        <v>2</v>
      </c>
      <c r="L8" s="328"/>
      <c r="M8" s="328"/>
      <c r="N8" s="338"/>
      <c r="O8" s="324" t="s">
        <v>12</v>
      </c>
      <c r="P8" s="330"/>
      <c r="Q8" s="326" t="s">
        <v>13</v>
      </c>
      <c r="R8" s="333"/>
      <c r="S8" s="326" t="s">
        <v>14</v>
      </c>
      <c r="T8" s="333"/>
      <c r="U8" s="328" t="s">
        <v>2</v>
      </c>
      <c r="V8" s="328"/>
      <c r="W8" s="328"/>
    </row>
    <row r="9" spans="1:25" s="60" customFormat="1" ht="6" customHeight="1" thickBot="1">
      <c r="A9" s="53"/>
      <c r="B9" s="53"/>
      <c r="C9" s="338"/>
      <c r="D9" s="338"/>
      <c r="E9" s="325"/>
      <c r="F9" s="338"/>
      <c r="G9" s="327"/>
      <c r="H9" s="334"/>
      <c r="I9" s="327"/>
      <c r="J9" s="337"/>
      <c r="K9" s="329"/>
      <c r="L9" s="329"/>
      <c r="M9" s="329"/>
      <c r="N9" s="338"/>
      <c r="O9" s="325"/>
      <c r="P9" s="331"/>
      <c r="Q9" s="327"/>
      <c r="R9" s="334"/>
      <c r="S9" s="327"/>
      <c r="T9" s="334"/>
      <c r="U9" s="329"/>
      <c r="V9" s="329"/>
      <c r="W9" s="329"/>
    </row>
    <row r="10" spans="1:25" s="60" customFormat="1" ht="42.75" customHeight="1" thickBot="1">
      <c r="A10" s="53"/>
      <c r="B10" s="53"/>
      <c r="C10" s="339"/>
      <c r="D10" s="338"/>
      <c r="E10" s="188" t="s">
        <v>56</v>
      </c>
      <c r="F10" s="338"/>
      <c r="G10" s="189" t="s">
        <v>57</v>
      </c>
      <c r="H10" s="335"/>
      <c r="I10" s="189" t="s">
        <v>58</v>
      </c>
      <c r="J10" s="337"/>
      <c r="K10" s="190" t="s">
        <v>6</v>
      </c>
      <c r="L10" s="190"/>
      <c r="M10" s="191" t="s">
        <v>19</v>
      </c>
      <c r="N10" s="338"/>
      <c r="O10" s="188" t="s">
        <v>56</v>
      </c>
      <c r="P10" s="332"/>
      <c r="Q10" s="189" t="s">
        <v>57</v>
      </c>
      <c r="R10" s="335"/>
      <c r="S10" s="189" t="s">
        <v>58</v>
      </c>
      <c r="T10" s="335"/>
      <c r="U10" s="354" t="s">
        <v>6</v>
      </c>
      <c r="V10" s="192"/>
      <c r="W10" s="191" t="s">
        <v>19</v>
      </c>
    </row>
    <row r="11" spans="1:25" s="60" customFormat="1" ht="42.75" customHeight="1">
      <c r="A11" s="142"/>
      <c r="B11" s="142" t="s">
        <v>278</v>
      </c>
      <c r="C11" s="153" t="s">
        <v>118</v>
      </c>
      <c r="D11" s="226"/>
      <c r="E11" s="154">
        <v>0</v>
      </c>
      <c r="F11" s="154"/>
      <c r="G11" s="154">
        <f>VLOOKUP(B11,a,10,0)</f>
        <v>1952319209</v>
      </c>
      <c r="H11" s="224"/>
      <c r="I11" s="154">
        <f t="shared" ref="I11:I42" si="0">VLOOKUP(B11,b,10,0)</f>
        <v>-10373772</v>
      </c>
      <c r="J11" s="225"/>
      <c r="K11" s="155">
        <f>E11+G11+I11</f>
        <v>1941945437</v>
      </c>
      <c r="L11" s="155"/>
      <c r="M11" s="206">
        <f>K11/($K$203+'درآمد سرمایه گذاری در اوراق بها'!$I$11+'درآمد سپرده بانکی'!$E$11+'سایر درآمدها'!$C$11)</f>
        <v>5.0708779562279854E-3</v>
      </c>
      <c r="N11" s="226"/>
      <c r="O11" s="154">
        <v>0</v>
      </c>
      <c r="P11" s="154"/>
      <c r="Q11" s="154">
        <f>VLOOKUP(B11,a,18,0)</f>
        <v>1068629385</v>
      </c>
      <c r="R11" s="224"/>
      <c r="S11" s="154">
        <f t="shared" ref="S11:S42" si="1">VLOOKUP(B11,b,18,0)</f>
        <v>-255337177</v>
      </c>
      <c r="T11" s="224"/>
      <c r="U11" s="355">
        <f>O11+Q11+S11</f>
        <v>813292208</v>
      </c>
      <c r="V11" s="222"/>
      <c r="W11" s="206">
        <f>U11/درآمدها!$E$11</f>
        <v>1.4835707797250092E-3</v>
      </c>
      <c r="Y11" s="162"/>
    </row>
    <row r="12" spans="1:25" s="60" customFormat="1" ht="42.75" customHeight="1">
      <c r="A12" s="142"/>
      <c r="B12" s="142" t="s">
        <v>279</v>
      </c>
      <c r="C12" s="153" t="s">
        <v>274</v>
      </c>
      <c r="D12" s="226"/>
      <c r="E12" s="154">
        <v>0</v>
      </c>
      <c r="F12" s="154"/>
      <c r="G12" s="154">
        <v>0</v>
      </c>
      <c r="H12" s="224"/>
      <c r="I12" s="154">
        <f t="shared" si="0"/>
        <v>7445745</v>
      </c>
      <c r="J12" s="225"/>
      <c r="K12" s="155">
        <f t="shared" ref="K12:K75" si="2">E12+G12+I12</f>
        <v>7445745</v>
      </c>
      <c r="L12" s="155"/>
      <c r="M12" s="206">
        <f>K12/($K$203+'درآمد سرمایه گذاری در اوراق بها'!$I$11+'درآمد سپرده بانکی'!$E$11+'سایر درآمدها'!$C$11)</f>
        <v>1.9442597855129513E-5</v>
      </c>
      <c r="N12" s="226"/>
      <c r="O12" s="154">
        <v>0</v>
      </c>
      <c r="P12" s="154"/>
      <c r="Q12" s="154">
        <v>0</v>
      </c>
      <c r="R12" s="224"/>
      <c r="S12" s="154">
        <f t="shared" si="1"/>
        <v>11752062</v>
      </c>
      <c r="T12" s="224"/>
      <c r="U12" s="355">
        <f t="shared" ref="U12:U75" si="3">O12+Q12+S12</f>
        <v>11752062</v>
      </c>
      <c r="V12" s="222"/>
      <c r="W12" s="206">
        <f>U12/درآمدها!$E$11</f>
        <v>2.1437578785602543E-5</v>
      </c>
      <c r="Y12" s="162"/>
    </row>
    <row r="13" spans="1:25" s="60" customFormat="1" ht="42.75" customHeight="1">
      <c r="A13" s="142"/>
      <c r="B13" s="142" t="s">
        <v>280</v>
      </c>
      <c r="C13" s="153" t="s">
        <v>261</v>
      </c>
      <c r="D13" s="226"/>
      <c r="E13" s="154">
        <v>0</v>
      </c>
      <c r="F13" s="154"/>
      <c r="G13" s="154">
        <f t="shared" ref="G13:G42" si="4">VLOOKUP(B13,a,10,0)</f>
        <v>42030641</v>
      </c>
      <c r="H13" s="224"/>
      <c r="I13" s="154">
        <f t="shared" si="0"/>
        <v>-5149892</v>
      </c>
      <c r="J13" s="225"/>
      <c r="K13" s="155">
        <f t="shared" si="2"/>
        <v>36880749</v>
      </c>
      <c r="L13" s="155"/>
      <c r="M13" s="206">
        <f>K13/($K$203+'درآمد سرمایه گذاری در اوراق بها'!$I$11+'درآمد سپرده بانکی'!$E$11+'سایر درآمدها'!$C$11)</f>
        <v>9.6304341795612109E-5</v>
      </c>
      <c r="N13" s="226"/>
      <c r="O13" s="154">
        <v>0</v>
      </c>
      <c r="P13" s="154"/>
      <c r="Q13" s="154">
        <f t="shared" ref="Q13:Q42" si="5">VLOOKUP(B13,a,18,0)</f>
        <v>-200027603</v>
      </c>
      <c r="R13" s="224"/>
      <c r="S13" s="154">
        <f t="shared" si="1"/>
        <v>-79279215</v>
      </c>
      <c r="T13" s="224"/>
      <c r="U13" s="355">
        <f t="shared" si="3"/>
        <v>-279306818</v>
      </c>
      <c r="V13" s="222"/>
      <c r="W13" s="206">
        <f>U13/درآمدها!$E$11</f>
        <v>-5.0949883656425151E-4</v>
      </c>
      <c r="Y13" s="162"/>
    </row>
    <row r="14" spans="1:25" s="60" customFormat="1" ht="42.75" customHeight="1">
      <c r="A14" s="142"/>
      <c r="B14" s="142" t="s">
        <v>497</v>
      </c>
      <c r="C14" s="153" t="s">
        <v>478</v>
      </c>
      <c r="D14" s="226"/>
      <c r="E14" s="154">
        <v>0</v>
      </c>
      <c r="F14" s="154"/>
      <c r="G14" s="154">
        <f t="shared" si="4"/>
        <v>572277814</v>
      </c>
      <c r="H14" s="224"/>
      <c r="I14" s="154">
        <f t="shared" si="0"/>
        <v>8666369</v>
      </c>
      <c r="J14" s="225"/>
      <c r="K14" s="155">
        <f t="shared" si="2"/>
        <v>580944183</v>
      </c>
      <c r="L14" s="155"/>
      <c r="M14" s="206">
        <f>K14/($K$203+'درآمد سرمایه گذاری در اوراق بها'!$I$11+'درآمد سپرده بانکی'!$E$11+'سایر درآمدها'!$C$11)</f>
        <v>1.5169824008673097E-3</v>
      </c>
      <c r="N14" s="226"/>
      <c r="O14" s="154">
        <v>0</v>
      </c>
      <c r="P14" s="154"/>
      <c r="Q14" s="154">
        <f t="shared" si="5"/>
        <v>1243913008</v>
      </c>
      <c r="R14" s="224"/>
      <c r="S14" s="154">
        <f t="shared" si="1"/>
        <v>59673987</v>
      </c>
      <c r="T14" s="224"/>
      <c r="U14" s="355">
        <f t="shared" si="3"/>
        <v>1303586995</v>
      </c>
      <c r="V14" s="222"/>
      <c r="W14" s="206">
        <f>U14/درآمدها!$E$11</f>
        <v>2.3779443053652516E-3</v>
      </c>
      <c r="Y14" s="162"/>
    </row>
    <row r="15" spans="1:25" s="60" customFormat="1" ht="42.75" customHeight="1">
      <c r="A15" s="142"/>
      <c r="B15" s="142" t="s">
        <v>281</v>
      </c>
      <c r="C15" s="153" t="s">
        <v>191</v>
      </c>
      <c r="D15" s="226"/>
      <c r="E15" s="154">
        <v>0</v>
      </c>
      <c r="F15" s="154"/>
      <c r="G15" s="154">
        <f t="shared" si="4"/>
        <v>1774132763</v>
      </c>
      <c r="H15" s="224"/>
      <c r="I15" s="154">
        <f t="shared" si="0"/>
        <v>-533306</v>
      </c>
      <c r="J15" s="225"/>
      <c r="K15" s="155">
        <f t="shared" si="2"/>
        <v>1773599457</v>
      </c>
      <c r="L15" s="155"/>
      <c r="M15" s="206">
        <f>K15/($K$203+'درآمد سرمایه گذاری در اوراق بها'!$I$11+'درآمد سپرده بانکی'!$E$11+'سایر درآمدها'!$C$11)</f>
        <v>4.6312868622988114E-3</v>
      </c>
      <c r="N15" s="226"/>
      <c r="O15" s="154">
        <v>450572850</v>
      </c>
      <c r="P15" s="154"/>
      <c r="Q15" s="154">
        <f t="shared" si="5"/>
        <v>1632861564</v>
      </c>
      <c r="R15" s="224"/>
      <c r="S15" s="154">
        <f t="shared" si="1"/>
        <v>-110684346</v>
      </c>
      <c r="T15" s="224"/>
      <c r="U15" s="355">
        <f t="shared" si="3"/>
        <v>1972750068</v>
      </c>
      <c r="V15" s="222"/>
      <c r="W15" s="206">
        <f>U15/درآمدها!$E$11</f>
        <v>3.5986012503212437E-3</v>
      </c>
      <c r="Y15" s="162"/>
    </row>
    <row r="16" spans="1:25" s="60" customFormat="1" ht="42.75" customHeight="1">
      <c r="A16" s="142"/>
      <c r="B16" s="142" t="s">
        <v>711</v>
      </c>
      <c r="C16" s="153" t="s">
        <v>515</v>
      </c>
      <c r="D16" s="226"/>
      <c r="E16" s="154">
        <v>0</v>
      </c>
      <c r="F16" s="154"/>
      <c r="G16" s="154">
        <f t="shared" si="4"/>
        <v>658046469</v>
      </c>
      <c r="H16" s="224"/>
      <c r="I16" s="154">
        <f t="shared" si="0"/>
        <v>0</v>
      </c>
      <c r="J16" s="225"/>
      <c r="K16" s="155">
        <f t="shared" si="2"/>
        <v>658046469</v>
      </c>
      <c r="L16" s="155"/>
      <c r="M16" s="206">
        <f>K16/($K$203+'درآمد سرمایه گذاری در اوراق بها'!$I$11+'درآمد سپرده بانکی'!$E$11+'سایر درآمدها'!$C$11)</f>
        <v>1.7183146705608303E-3</v>
      </c>
      <c r="N16" s="226"/>
      <c r="O16" s="154">
        <v>0</v>
      </c>
      <c r="P16" s="154"/>
      <c r="Q16" s="154">
        <f t="shared" si="5"/>
        <v>716986423</v>
      </c>
      <c r="R16" s="224"/>
      <c r="S16" s="154">
        <f t="shared" si="1"/>
        <v>4597264</v>
      </c>
      <c r="T16" s="224"/>
      <c r="U16" s="355">
        <f t="shared" si="3"/>
        <v>721583687</v>
      </c>
      <c r="V16" s="222"/>
      <c r="W16" s="206">
        <f>U16/درآمدها!$E$11</f>
        <v>1.3162802528158943E-3</v>
      </c>
      <c r="Y16" s="162"/>
    </row>
    <row r="17" spans="1:25" s="60" customFormat="1" ht="42.75" customHeight="1">
      <c r="A17" s="142"/>
      <c r="B17" s="142" t="s">
        <v>282</v>
      </c>
      <c r="C17" s="153" t="s">
        <v>109</v>
      </c>
      <c r="D17" s="226"/>
      <c r="E17" s="154">
        <v>0</v>
      </c>
      <c r="F17" s="154"/>
      <c r="G17" s="154">
        <f t="shared" si="4"/>
        <v>2425007320</v>
      </c>
      <c r="H17" s="224"/>
      <c r="I17" s="154">
        <f t="shared" si="0"/>
        <v>49261342</v>
      </c>
      <c r="J17" s="225"/>
      <c r="K17" s="155">
        <f t="shared" si="2"/>
        <v>2474268662</v>
      </c>
      <c r="L17" s="155"/>
      <c r="M17" s="206">
        <f>K17/($K$203+'درآمد سرمایه گذاری در اوراق بها'!$I$11+'درآمد سپرده بانکی'!$E$11+'سایر درآمدها'!$C$11)</f>
        <v>6.4608995581792511E-3</v>
      </c>
      <c r="N17" s="226"/>
      <c r="O17" s="154">
        <v>34347467</v>
      </c>
      <c r="P17" s="154"/>
      <c r="Q17" s="154">
        <f t="shared" si="5"/>
        <v>3629279877</v>
      </c>
      <c r="R17" s="224"/>
      <c r="S17" s="154">
        <f t="shared" si="1"/>
        <v>192280409</v>
      </c>
      <c r="T17" s="224"/>
      <c r="U17" s="355">
        <f t="shared" si="3"/>
        <v>3855907753</v>
      </c>
      <c r="V17" s="222"/>
      <c r="W17" s="206">
        <f>U17/درآمدها!$E$11</f>
        <v>7.0337721367495481E-3</v>
      </c>
      <c r="Y17" s="162"/>
    </row>
    <row r="18" spans="1:25" s="60" customFormat="1" ht="42.75" customHeight="1">
      <c r="A18" s="142"/>
      <c r="B18" s="142" t="s">
        <v>283</v>
      </c>
      <c r="C18" s="153" t="s">
        <v>173</v>
      </c>
      <c r="D18" s="226"/>
      <c r="E18" s="154">
        <v>0</v>
      </c>
      <c r="F18" s="154"/>
      <c r="G18" s="154">
        <f t="shared" si="4"/>
        <v>2568859099</v>
      </c>
      <c r="H18" s="224"/>
      <c r="I18" s="154">
        <f t="shared" si="0"/>
        <v>-2718554</v>
      </c>
      <c r="J18" s="225"/>
      <c r="K18" s="155">
        <f t="shared" si="2"/>
        <v>2566140545</v>
      </c>
      <c r="L18" s="155"/>
      <c r="M18" s="206">
        <f>K18/($K$203+'درآمد سرمایه گذاری در اوراق بها'!$I$11+'درآمد سپرده بانکی'!$E$11+'سایر درآمدها'!$C$11)</f>
        <v>6.700798732185681E-3</v>
      </c>
      <c r="N18" s="226"/>
      <c r="O18" s="154">
        <v>193871911</v>
      </c>
      <c r="P18" s="154"/>
      <c r="Q18" s="154">
        <f t="shared" si="5"/>
        <v>1741923936</v>
      </c>
      <c r="R18" s="224"/>
      <c r="S18" s="154">
        <f t="shared" si="1"/>
        <v>-247479121</v>
      </c>
      <c r="T18" s="224"/>
      <c r="U18" s="355">
        <f t="shared" si="3"/>
        <v>1688316726</v>
      </c>
      <c r="V18" s="222"/>
      <c r="W18" s="206">
        <f>U18/درآمدها!$E$11</f>
        <v>3.079750841058832E-3</v>
      </c>
      <c r="Y18" s="162"/>
    </row>
    <row r="19" spans="1:25" s="60" customFormat="1" ht="42.75" customHeight="1">
      <c r="A19" s="142"/>
      <c r="B19" s="142" t="s">
        <v>284</v>
      </c>
      <c r="C19" s="153" t="s">
        <v>168</v>
      </c>
      <c r="D19" s="226"/>
      <c r="E19" s="154">
        <v>0</v>
      </c>
      <c r="F19" s="154"/>
      <c r="G19" s="154">
        <f t="shared" si="4"/>
        <v>3342046717</v>
      </c>
      <c r="H19" s="224"/>
      <c r="I19" s="154">
        <f t="shared" si="0"/>
        <v>146921883</v>
      </c>
      <c r="J19" s="225"/>
      <c r="K19" s="155">
        <f t="shared" si="2"/>
        <v>3488968600</v>
      </c>
      <c r="L19" s="155"/>
      <c r="M19" s="206">
        <f>K19/($K$203+'درآمد سرمایه گذاری در اوراق بها'!$I$11+'درآمد سپرده بانکی'!$E$11+'سایر درآمدها'!$C$11)</f>
        <v>9.110520628758334E-3</v>
      </c>
      <c r="N19" s="226"/>
      <c r="O19" s="154">
        <v>0</v>
      </c>
      <c r="P19" s="154"/>
      <c r="Q19" s="154">
        <f t="shared" si="5"/>
        <v>3322303206</v>
      </c>
      <c r="R19" s="224"/>
      <c r="S19" s="154">
        <f t="shared" si="1"/>
        <v>49619111</v>
      </c>
      <c r="T19" s="224"/>
      <c r="U19" s="355">
        <f t="shared" si="3"/>
        <v>3371922317</v>
      </c>
      <c r="V19" s="222"/>
      <c r="W19" s="206">
        <f>U19/درآمدها!$E$11</f>
        <v>6.1509078432039396E-3</v>
      </c>
      <c r="Y19" s="162"/>
    </row>
    <row r="20" spans="1:25" s="60" customFormat="1" ht="42.75" customHeight="1">
      <c r="A20" s="142"/>
      <c r="B20" s="142" t="s">
        <v>285</v>
      </c>
      <c r="C20" s="153" t="s">
        <v>269</v>
      </c>
      <c r="D20" s="226"/>
      <c r="E20" s="154">
        <v>0</v>
      </c>
      <c r="F20" s="154"/>
      <c r="G20" s="154">
        <f t="shared" si="4"/>
        <v>250952148</v>
      </c>
      <c r="H20" s="224"/>
      <c r="I20" s="154">
        <f t="shared" si="0"/>
        <v>3274165</v>
      </c>
      <c r="J20" s="225"/>
      <c r="K20" s="155">
        <f t="shared" si="2"/>
        <v>254226313</v>
      </c>
      <c r="L20" s="155"/>
      <c r="M20" s="206">
        <f>K20/($K$203+'درآمد سرمایه گذاری در اوراق بها'!$I$11+'درآمد سپرده بانکی'!$E$11+'سایر درآمدها'!$C$11)</f>
        <v>6.6384491650617685E-4</v>
      </c>
      <c r="N20" s="226"/>
      <c r="O20" s="154">
        <v>0</v>
      </c>
      <c r="P20" s="154"/>
      <c r="Q20" s="154">
        <f t="shared" si="5"/>
        <v>330326139</v>
      </c>
      <c r="R20" s="224"/>
      <c r="S20" s="154">
        <f t="shared" si="1"/>
        <v>25857754</v>
      </c>
      <c r="T20" s="224"/>
      <c r="U20" s="355">
        <f t="shared" si="3"/>
        <v>356183893</v>
      </c>
      <c r="V20" s="222"/>
      <c r="W20" s="206">
        <f>U20/درآمدها!$E$11</f>
        <v>6.4973451198182294E-4</v>
      </c>
      <c r="Y20" s="162"/>
    </row>
    <row r="21" spans="1:25" s="60" customFormat="1" ht="42.75" customHeight="1">
      <c r="A21" s="142"/>
      <c r="B21" s="142" t="s">
        <v>286</v>
      </c>
      <c r="C21" s="153" t="s">
        <v>212</v>
      </c>
      <c r="D21" s="226"/>
      <c r="E21" s="154">
        <v>0</v>
      </c>
      <c r="F21" s="154"/>
      <c r="G21" s="154">
        <f t="shared" si="4"/>
        <v>194059046</v>
      </c>
      <c r="H21" s="224"/>
      <c r="I21" s="154">
        <f t="shared" si="0"/>
        <v>-2012269</v>
      </c>
      <c r="J21" s="225"/>
      <c r="K21" s="155">
        <f t="shared" si="2"/>
        <v>192046777</v>
      </c>
      <c r="L21" s="155"/>
      <c r="M21" s="206">
        <f>K21/($K$203+'درآمد سرمایه گذاری در اوراق بها'!$I$11+'درآمد سپرده بانکی'!$E$11+'سایر درآمدها'!$C$11)</f>
        <v>5.0147946976222466E-4</v>
      </c>
      <c r="N21" s="226"/>
      <c r="O21" s="154">
        <v>15568146</v>
      </c>
      <c r="P21" s="154"/>
      <c r="Q21" s="154">
        <f t="shared" si="5"/>
        <v>377080379</v>
      </c>
      <c r="R21" s="224"/>
      <c r="S21" s="154">
        <f t="shared" si="1"/>
        <v>-33798070</v>
      </c>
      <c r="T21" s="224"/>
      <c r="U21" s="355">
        <f t="shared" si="3"/>
        <v>358850455</v>
      </c>
      <c r="V21" s="222"/>
      <c r="W21" s="206">
        <f>U21/درآمدها!$E$11</f>
        <v>6.5459873350836814E-4</v>
      </c>
      <c r="Y21" s="162"/>
    </row>
    <row r="22" spans="1:25" s="60" customFormat="1" ht="42.75" customHeight="1">
      <c r="A22" s="142"/>
      <c r="B22" s="142" t="s">
        <v>287</v>
      </c>
      <c r="C22" s="153" t="s">
        <v>99</v>
      </c>
      <c r="D22" s="226"/>
      <c r="E22" s="154">
        <v>0</v>
      </c>
      <c r="F22" s="154"/>
      <c r="G22" s="154">
        <f t="shared" si="4"/>
        <v>5575172899</v>
      </c>
      <c r="H22" s="224"/>
      <c r="I22" s="154">
        <f t="shared" si="0"/>
        <v>17737654</v>
      </c>
      <c r="J22" s="225"/>
      <c r="K22" s="155">
        <f t="shared" si="2"/>
        <v>5592910553</v>
      </c>
      <c r="L22" s="155"/>
      <c r="M22" s="206">
        <f>K22/($K$203+'درآمد سرمایه گذاری در اوراق بها'!$I$11+'درآمد سپرده بانکی'!$E$11+'سایر درآمدها'!$C$11)</f>
        <v>1.4604409729542042E-2</v>
      </c>
      <c r="N22" s="226"/>
      <c r="O22" s="154">
        <v>641580750</v>
      </c>
      <c r="P22" s="154"/>
      <c r="Q22" s="154">
        <f t="shared" si="5"/>
        <v>4824844069</v>
      </c>
      <c r="R22" s="224"/>
      <c r="S22" s="154">
        <f t="shared" si="1"/>
        <v>-61018050</v>
      </c>
      <c r="T22" s="224"/>
      <c r="U22" s="355">
        <f t="shared" si="3"/>
        <v>5405406769</v>
      </c>
      <c r="V22" s="222"/>
      <c r="W22" s="206">
        <f>U22/درآمدها!$E$11</f>
        <v>9.8602980037602577E-3</v>
      </c>
      <c r="Y22" s="162"/>
    </row>
    <row r="23" spans="1:25" s="60" customFormat="1" ht="42.75" customHeight="1">
      <c r="A23" s="142"/>
      <c r="B23" s="142" t="s">
        <v>288</v>
      </c>
      <c r="C23" s="153" t="s">
        <v>129</v>
      </c>
      <c r="D23" s="226"/>
      <c r="E23" s="154">
        <v>0</v>
      </c>
      <c r="F23" s="154"/>
      <c r="G23" s="154">
        <f t="shared" si="4"/>
        <v>7595779351</v>
      </c>
      <c r="H23" s="224"/>
      <c r="I23" s="154">
        <f t="shared" si="0"/>
        <v>2268983</v>
      </c>
      <c r="J23" s="225"/>
      <c r="K23" s="155">
        <f t="shared" si="2"/>
        <v>7598048334</v>
      </c>
      <c r="L23" s="155"/>
      <c r="M23" s="206">
        <f>K23/($K$203+'درآمد سرمایه گذاری در اوراق بها'!$I$11+'درآمد سپرده بانکی'!$E$11+'سایر درآمدها'!$C$11)</f>
        <v>1.9840297813287826E-2</v>
      </c>
      <c r="N23" s="226"/>
      <c r="O23" s="154">
        <v>82613506</v>
      </c>
      <c r="P23" s="154"/>
      <c r="Q23" s="154">
        <f t="shared" si="5"/>
        <v>7680711977</v>
      </c>
      <c r="R23" s="224"/>
      <c r="S23" s="154">
        <f t="shared" si="1"/>
        <v>-107640700</v>
      </c>
      <c r="T23" s="224"/>
      <c r="U23" s="355">
        <f t="shared" si="3"/>
        <v>7655684783</v>
      </c>
      <c r="V23" s="222"/>
      <c r="W23" s="206">
        <f>U23/درآمدها!$E$11</f>
        <v>1.3965153152978686E-2</v>
      </c>
      <c r="Y23" s="162"/>
    </row>
    <row r="24" spans="1:25" s="60" customFormat="1" ht="42.75" customHeight="1">
      <c r="A24" s="142"/>
      <c r="B24" s="142" t="s">
        <v>289</v>
      </c>
      <c r="C24" s="153" t="s">
        <v>213</v>
      </c>
      <c r="D24" s="226"/>
      <c r="E24" s="154">
        <v>0</v>
      </c>
      <c r="F24" s="154"/>
      <c r="G24" s="154">
        <f t="shared" si="4"/>
        <v>2678450027</v>
      </c>
      <c r="H24" s="224"/>
      <c r="I24" s="154">
        <f t="shared" si="0"/>
        <v>33954725</v>
      </c>
      <c r="J24" s="225"/>
      <c r="K24" s="155">
        <f t="shared" si="2"/>
        <v>2712404752</v>
      </c>
      <c r="L24" s="155"/>
      <c r="M24" s="206">
        <f>K24/($K$203+'درآمد سرمایه گذاری در اوراق بها'!$I$11+'درآمد سپرده بانکی'!$E$11+'سایر درآمدها'!$C$11)</f>
        <v>7.0827291041364289E-3</v>
      </c>
      <c r="N24" s="226"/>
      <c r="O24" s="154">
        <v>1522400400</v>
      </c>
      <c r="P24" s="154"/>
      <c r="Q24" s="154">
        <f t="shared" si="5"/>
        <v>5212815861</v>
      </c>
      <c r="R24" s="224"/>
      <c r="S24" s="154">
        <f t="shared" si="1"/>
        <v>116079516</v>
      </c>
      <c r="T24" s="224"/>
      <c r="U24" s="355">
        <f t="shared" si="3"/>
        <v>6851295777</v>
      </c>
      <c r="V24" s="222"/>
      <c r="W24" s="206">
        <f>U24/درآمدها!$E$11</f>
        <v>1.2497823190764607E-2</v>
      </c>
      <c r="Y24" s="162"/>
    </row>
    <row r="25" spans="1:25" s="60" customFormat="1" ht="42.75" customHeight="1">
      <c r="A25" s="142"/>
      <c r="B25" s="142" t="s">
        <v>290</v>
      </c>
      <c r="C25" s="153" t="s">
        <v>110</v>
      </c>
      <c r="D25" s="226"/>
      <c r="E25" s="154">
        <v>0</v>
      </c>
      <c r="F25" s="154"/>
      <c r="G25" s="154">
        <f t="shared" si="4"/>
        <v>3322632636</v>
      </c>
      <c r="H25" s="224"/>
      <c r="I25" s="154">
        <f t="shared" si="0"/>
        <v>3992813</v>
      </c>
      <c r="J25" s="225"/>
      <c r="K25" s="155">
        <f t="shared" si="2"/>
        <v>3326625449</v>
      </c>
      <c r="L25" s="155"/>
      <c r="M25" s="206">
        <f>K25/($K$203+'درآمد سرمایه گذاری در اوراق بها'!$I$11+'درآمد سپرده بانکی'!$E$11+'سایر درآمدها'!$C$11)</f>
        <v>8.6866043383901342E-3</v>
      </c>
      <c r="N25" s="226"/>
      <c r="O25" s="154">
        <v>134699171</v>
      </c>
      <c r="P25" s="154"/>
      <c r="Q25" s="154">
        <f t="shared" si="5"/>
        <v>3916258863</v>
      </c>
      <c r="R25" s="224"/>
      <c r="S25" s="154">
        <f t="shared" si="1"/>
        <v>35644072</v>
      </c>
      <c r="T25" s="224"/>
      <c r="U25" s="355">
        <f t="shared" si="3"/>
        <v>4086602106</v>
      </c>
      <c r="V25" s="222"/>
      <c r="W25" s="206">
        <f>U25/درآمدها!$E$11</f>
        <v>7.4545943182383039E-3</v>
      </c>
      <c r="Y25" s="162"/>
    </row>
    <row r="26" spans="1:25" s="60" customFormat="1" ht="42.75" customHeight="1">
      <c r="A26" s="142"/>
      <c r="B26" s="142" t="s">
        <v>291</v>
      </c>
      <c r="C26" s="153" t="s">
        <v>140</v>
      </c>
      <c r="D26" s="226"/>
      <c r="E26" s="154">
        <v>0</v>
      </c>
      <c r="F26" s="154"/>
      <c r="G26" s="154">
        <f t="shared" si="4"/>
        <v>1563180892</v>
      </c>
      <c r="H26" s="224"/>
      <c r="I26" s="154">
        <f t="shared" si="0"/>
        <v>-3918403</v>
      </c>
      <c r="J26" s="225"/>
      <c r="K26" s="155">
        <f t="shared" si="2"/>
        <v>1559262489</v>
      </c>
      <c r="L26" s="155"/>
      <c r="M26" s="206">
        <f>K26/($K$203+'درآمد سرمایه گذاری در اوراق بها'!$I$11+'درآمد سپرده بانکی'!$E$11+'سایر درآمدها'!$C$11)</f>
        <v>4.0716024419605165E-3</v>
      </c>
      <c r="N26" s="226"/>
      <c r="O26" s="154">
        <v>0</v>
      </c>
      <c r="P26" s="154"/>
      <c r="Q26" s="154">
        <f t="shared" si="5"/>
        <v>1468579572</v>
      </c>
      <c r="R26" s="224"/>
      <c r="S26" s="154">
        <f t="shared" si="1"/>
        <v>-1562355433</v>
      </c>
      <c r="T26" s="224"/>
      <c r="U26" s="355">
        <f t="shared" si="3"/>
        <v>-93775861</v>
      </c>
      <c r="V26" s="222"/>
      <c r="W26" s="206">
        <f>U26/درآمدها!$E$11</f>
        <v>-1.7106167482567849E-4</v>
      </c>
      <c r="Y26" s="162"/>
    </row>
    <row r="27" spans="1:25" s="60" customFormat="1" ht="42.75" customHeight="1">
      <c r="A27" s="142"/>
      <c r="B27" s="142" t="s">
        <v>498</v>
      </c>
      <c r="C27" s="153" t="s">
        <v>479</v>
      </c>
      <c r="D27" s="226"/>
      <c r="E27" s="154">
        <v>0</v>
      </c>
      <c r="F27" s="154"/>
      <c r="G27" s="154">
        <f t="shared" si="4"/>
        <v>2230381836</v>
      </c>
      <c r="H27" s="224"/>
      <c r="I27" s="154">
        <f t="shared" si="0"/>
        <v>13057980</v>
      </c>
      <c r="J27" s="225"/>
      <c r="K27" s="155">
        <f t="shared" si="2"/>
        <v>2243439816</v>
      </c>
      <c r="L27" s="155"/>
      <c r="M27" s="206">
        <f>K27/($K$203+'درآمد سرمایه گذاری در اوراق بها'!$I$11+'درآمد سپرده بانکی'!$E$11+'سایر درآمدها'!$C$11)</f>
        <v>5.8581509512713294E-3</v>
      </c>
      <c r="N27" s="226"/>
      <c r="O27" s="154">
        <v>0</v>
      </c>
      <c r="P27" s="154"/>
      <c r="Q27" s="154">
        <f t="shared" si="5"/>
        <v>3014404490</v>
      </c>
      <c r="R27" s="224"/>
      <c r="S27" s="154">
        <f t="shared" si="1"/>
        <v>69244532</v>
      </c>
      <c r="T27" s="224"/>
      <c r="U27" s="355">
        <f t="shared" si="3"/>
        <v>3083649022</v>
      </c>
      <c r="V27" s="222"/>
      <c r="W27" s="206">
        <f>U27/درآمدها!$E$11</f>
        <v>5.6250527657419804E-3</v>
      </c>
      <c r="Y27" s="162"/>
    </row>
    <row r="28" spans="1:25" s="60" customFormat="1" ht="42.75" customHeight="1">
      <c r="A28" s="142"/>
      <c r="B28" s="142" t="s">
        <v>292</v>
      </c>
      <c r="C28" s="153" t="s">
        <v>222</v>
      </c>
      <c r="D28" s="226"/>
      <c r="E28" s="154">
        <v>339767078</v>
      </c>
      <c r="F28" s="154"/>
      <c r="G28" s="154">
        <f t="shared" si="4"/>
        <v>-574959525</v>
      </c>
      <c r="H28" s="224"/>
      <c r="I28" s="154">
        <f t="shared" si="0"/>
        <v>11631107</v>
      </c>
      <c r="J28" s="225"/>
      <c r="K28" s="155">
        <f>E28+G28+I28</f>
        <v>-223561340</v>
      </c>
      <c r="L28" s="155"/>
      <c r="M28" s="206">
        <f>K28/($K$203+'درآمد سرمایه گذاری در اوراق بها'!$I$11+'درآمد سپرده بانکی'!$E$11+'سایر درآمدها'!$C$11)</f>
        <v>-5.8377143315731055E-4</v>
      </c>
      <c r="N28" s="226"/>
      <c r="O28" s="154">
        <v>339767078</v>
      </c>
      <c r="P28" s="154"/>
      <c r="Q28" s="154">
        <f t="shared" si="5"/>
        <v>392997306</v>
      </c>
      <c r="R28" s="224"/>
      <c r="S28" s="154">
        <f t="shared" si="1"/>
        <v>808281788</v>
      </c>
      <c r="T28" s="224"/>
      <c r="U28" s="355">
        <f t="shared" si="3"/>
        <v>1541046172</v>
      </c>
      <c r="V28" s="222"/>
      <c r="W28" s="206">
        <f>U28/درآمدها!$E$11</f>
        <v>2.811106572148888E-3</v>
      </c>
      <c r="Y28" s="162"/>
    </row>
    <row r="29" spans="1:25" s="60" customFormat="1" ht="42.75" customHeight="1">
      <c r="A29" s="142"/>
      <c r="B29" s="142" t="s">
        <v>293</v>
      </c>
      <c r="C29" s="153" t="s">
        <v>113</v>
      </c>
      <c r="D29" s="226"/>
      <c r="E29" s="154">
        <v>0</v>
      </c>
      <c r="F29" s="154"/>
      <c r="G29" s="154">
        <f t="shared" si="4"/>
        <v>5410867386</v>
      </c>
      <c r="H29" s="224"/>
      <c r="I29" s="154">
        <f t="shared" si="0"/>
        <v>51586838</v>
      </c>
      <c r="J29" s="225"/>
      <c r="K29" s="155">
        <f t="shared" si="2"/>
        <v>5462454224</v>
      </c>
      <c r="L29" s="155"/>
      <c r="M29" s="206">
        <f>K29/($K$203+'درآمد سرمایه گذاری در اوراق بها'!$I$11+'درآمد سپرده بانکی'!$E$11+'سایر درآمدها'!$C$11)</f>
        <v>1.4263757458694267E-2</v>
      </c>
      <c r="N29" s="226"/>
      <c r="O29" s="154">
        <v>0</v>
      </c>
      <c r="P29" s="154"/>
      <c r="Q29" s="154">
        <f t="shared" si="5"/>
        <v>9375594784</v>
      </c>
      <c r="R29" s="224"/>
      <c r="S29" s="154">
        <f t="shared" si="1"/>
        <v>264062634</v>
      </c>
      <c r="T29" s="224"/>
      <c r="U29" s="355">
        <f t="shared" si="3"/>
        <v>9639657418</v>
      </c>
      <c r="V29" s="222"/>
      <c r="W29" s="206">
        <f>U29/درآمدها!$E$11</f>
        <v>1.7584226101308262E-2</v>
      </c>
      <c r="Y29" s="162"/>
    </row>
    <row r="30" spans="1:25" s="60" customFormat="1" ht="42.75" customHeight="1">
      <c r="A30" s="142"/>
      <c r="B30" s="142" t="s">
        <v>499</v>
      </c>
      <c r="C30" s="153" t="s">
        <v>480</v>
      </c>
      <c r="D30" s="226"/>
      <c r="E30" s="154">
        <v>0</v>
      </c>
      <c r="F30" s="154"/>
      <c r="G30" s="154">
        <f t="shared" si="4"/>
        <v>1243250411</v>
      </c>
      <c r="H30" s="224"/>
      <c r="I30" s="154">
        <f t="shared" si="0"/>
        <v>13154180</v>
      </c>
      <c r="J30" s="225"/>
      <c r="K30" s="155">
        <f t="shared" si="2"/>
        <v>1256404591</v>
      </c>
      <c r="L30" s="155"/>
      <c r="M30" s="206">
        <f>K30/($K$203+'درآمد سرمایه گذاری در اوراق بها'!$I$11+'درآمد سپرده بانکی'!$E$11+'سایر درآمدها'!$C$11)</f>
        <v>3.2807689769326605E-3</v>
      </c>
      <c r="N30" s="226"/>
      <c r="O30" s="154">
        <v>0</v>
      </c>
      <c r="P30" s="154"/>
      <c r="Q30" s="154">
        <f t="shared" si="5"/>
        <v>2554479074</v>
      </c>
      <c r="R30" s="224"/>
      <c r="S30" s="154">
        <f t="shared" si="1"/>
        <v>162848923</v>
      </c>
      <c r="T30" s="224"/>
      <c r="U30" s="355">
        <f t="shared" si="3"/>
        <v>2717327997</v>
      </c>
      <c r="V30" s="222"/>
      <c r="W30" s="206">
        <f>U30/درآمدها!$E$11</f>
        <v>4.9568265570766263E-3</v>
      </c>
      <c r="Y30" s="162"/>
    </row>
    <row r="31" spans="1:25" s="60" customFormat="1" ht="42.75" customHeight="1">
      <c r="A31" s="142"/>
      <c r="B31" s="142" t="s">
        <v>500</v>
      </c>
      <c r="C31" s="153" t="s">
        <v>481</v>
      </c>
      <c r="D31" s="226"/>
      <c r="E31" s="154">
        <v>0</v>
      </c>
      <c r="F31" s="154"/>
      <c r="G31" s="154">
        <f t="shared" si="4"/>
        <v>872023816</v>
      </c>
      <c r="H31" s="224"/>
      <c r="I31" s="154">
        <f t="shared" si="0"/>
        <v>7098833</v>
      </c>
      <c r="J31" s="225"/>
      <c r="K31" s="155">
        <f t="shared" si="2"/>
        <v>879122649</v>
      </c>
      <c r="L31" s="155"/>
      <c r="M31" s="206">
        <f>K31/($K$203+'درآمد سرمایه گذاری در اوراق بها'!$I$11+'درآمد سپرده بانکی'!$E$11+'سایر درآمدها'!$C$11)</f>
        <v>2.2955967643054085E-3</v>
      </c>
      <c r="N31" s="226"/>
      <c r="O31" s="154">
        <v>0</v>
      </c>
      <c r="P31" s="154"/>
      <c r="Q31" s="154">
        <f t="shared" si="5"/>
        <v>1380877403</v>
      </c>
      <c r="R31" s="224"/>
      <c r="S31" s="154">
        <f t="shared" si="1"/>
        <v>112860977</v>
      </c>
      <c r="T31" s="224"/>
      <c r="U31" s="355">
        <f t="shared" si="3"/>
        <v>1493738380</v>
      </c>
      <c r="V31" s="222"/>
      <c r="W31" s="206">
        <f>U31/درآمدها!$E$11</f>
        <v>2.7248098424198504E-3</v>
      </c>
      <c r="Y31" s="162"/>
    </row>
    <row r="32" spans="1:25" s="60" customFormat="1" ht="42.75" customHeight="1">
      <c r="A32" s="142"/>
      <c r="B32" s="142" t="s">
        <v>294</v>
      </c>
      <c r="C32" s="153" t="s">
        <v>149</v>
      </c>
      <c r="D32" s="226"/>
      <c r="E32" s="154">
        <v>0</v>
      </c>
      <c r="F32" s="154"/>
      <c r="G32" s="154">
        <f t="shared" si="4"/>
        <v>1354393425</v>
      </c>
      <c r="H32" s="224"/>
      <c r="I32" s="154">
        <f t="shared" si="0"/>
        <v>-629261</v>
      </c>
      <c r="J32" s="225"/>
      <c r="K32" s="155">
        <f t="shared" si="2"/>
        <v>1353764164</v>
      </c>
      <c r="L32" s="155"/>
      <c r="M32" s="206">
        <f>K32/($K$203+'درآمد سرمایه گذاری در اوراق بها'!$I$11+'درآمد سپرده بانکی'!$E$11+'سایر درآمدها'!$C$11)</f>
        <v>3.5349978049661378E-3</v>
      </c>
      <c r="N32" s="226"/>
      <c r="O32" s="154">
        <v>411612890</v>
      </c>
      <c r="P32" s="154"/>
      <c r="Q32" s="154">
        <f t="shared" si="5"/>
        <v>1474851364</v>
      </c>
      <c r="R32" s="224"/>
      <c r="S32" s="154">
        <f t="shared" si="1"/>
        <v>-25526988</v>
      </c>
      <c r="T32" s="224"/>
      <c r="U32" s="355">
        <f t="shared" si="3"/>
        <v>1860937266</v>
      </c>
      <c r="V32" s="222"/>
      <c r="W32" s="206">
        <f>U32/درآمدها!$E$11</f>
        <v>3.3946374053284265E-3</v>
      </c>
      <c r="Y32" s="162"/>
    </row>
    <row r="33" spans="1:25" s="60" customFormat="1" ht="42.75" customHeight="1">
      <c r="A33" s="142"/>
      <c r="B33" s="142" t="s">
        <v>295</v>
      </c>
      <c r="C33" s="153" t="s">
        <v>92</v>
      </c>
      <c r="D33" s="226"/>
      <c r="E33" s="154">
        <v>0</v>
      </c>
      <c r="F33" s="154"/>
      <c r="G33" s="154">
        <f t="shared" si="4"/>
        <v>1593637569</v>
      </c>
      <c r="H33" s="224"/>
      <c r="I33" s="154">
        <f t="shared" si="0"/>
        <v>4921797</v>
      </c>
      <c r="J33" s="225"/>
      <c r="K33" s="155">
        <f t="shared" si="2"/>
        <v>1598559366</v>
      </c>
      <c r="L33" s="155"/>
      <c r="M33" s="206">
        <f>K33/($K$203+'درآمد سرمایه گذاری در اوراق بها'!$I$11+'درآمد سپرده بانکی'!$E$11+'سایر درآمدها'!$C$11)</f>
        <v>4.1742158643210039E-3</v>
      </c>
      <c r="N33" s="226"/>
      <c r="O33" s="154">
        <v>478121400</v>
      </c>
      <c r="P33" s="154"/>
      <c r="Q33" s="154">
        <f t="shared" si="5"/>
        <v>1848854933</v>
      </c>
      <c r="R33" s="224"/>
      <c r="S33" s="154">
        <f t="shared" si="1"/>
        <v>-3307012</v>
      </c>
      <c r="T33" s="224"/>
      <c r="U33" s="355">
        <f t="shared" si="3"/>
        <v>2323669321</v>
      </c>
      <c r="V33" s="222"/>
      <c r="W33" s="206">
        <f>U33/درآمدها!$E$11</f>
        <v>4.2387322446584327E-3</v>
      </c>
      <c r="Y33" s="162"/>
    </row>
    <row r="34" spans="1:25" s="60" customFormat="1" ht="42.75" customHeight="1">
      <c r="A34" s="142"/>
      <c r="B34" s="142" t="s">
        <v>296</v>
      </c>
      <c r="C34" s="153" t="s">
        <v>202</v>
      </c>
      <c r="D34" s="226"/>
      <c r="E34" s="154">
        <v>0</v>
      </c>
      <c r="F34" s="154"/>
      <c r="G34" s="154">
        <f t="shared" si="4"/>
        <v>1877428445</v>
      </c>
      <c r="H34" s="224"/>
      <c r="I34" s="154">
        <f t="shared" si="0"/>
        <v>-13004680</v>
      </c>
      <c r="J34" s="225"/>
      <c r="K34" s="155">
        <f t="shared" si="2"/>
        <v>1864423765</v>
      </c>
      <c r="L34" s="155"/>
      <c r="M34" s="206">
        <f>K34/($K$203+'درآمد سرمایه گذاری در اوراق بها'!$I$11+'درآمد سپرده بانکی'!$E$11+'سایر درآمدها'!$C$11)</f>
        <v>4.8684505706872161E-3</v>
      </c>
      <c r="N34" s="226"/>
      <c r="O34" s="154">
        <v>0</v>
      </c>
      <c r="P34" s="154"/>
      <c r="Q34" s="154">
        <f t="shared" si="5"/>
        <v>1204208295</v>
      </c>
      <c r="R34" s="224"/>
      <c r="S34" s="154">
        <f t="shared" si="1"/>
        <v>-150879838</v>
      </c>
      <c r="T34" s="224"/>
      <c r="U34" s="355">
        <f t="shared" si="3"/>
        <v>1053328457</v>
      </c>
      <c r="V34" s="222"/>
      <c r="W34" s="206">
        <f>U34/درآمدها!$E$11</f>
        <v>1.9214340244337257E-3</v>
      </c>
      <c r="Y34" s="162"/>
    </row>
    <row r="35" spans="1:25" s="60" customFormat="1" ht="42.75" customHeight="1">
      <c r="A35" s="142"/>
      <c r="B35" s="142" t="s">
        <v>452</v>
      </c>
      <c r="C35" s="153" t="s">
        <v>443</v>
      </c>
      <c r="D35" s="226"/>
      <c r="E35" s="154">
        <v>0</v>
      </c>
      <c r="F35" s="154"/>
      <c r="G35" s="154">
        <f t="shared" si="4"/>
        <v>0</v>
      </c>
      <c r="H35" s="224"/>
      <c r="I35" s="154">
        <f t="shared" si="0"/>
        <v>0</v>
      </c>
      <c r="J35" s="225"/>
      <c r="K35" s="155">
        <f t="shared" si="2"/>
        <v>0</v>
      </c>
      <c r="L35" s="155"/>
      <c r="M35" s="206">
        <f>K35/($K$203+'درآمد سرمایه گذاری در اوراق بها'!$I$11+'درآمد سپرده بانکی'!$E$11+'سایر درآمدها'!$C$11)</f>
        <v>0</v>
      </c>
      <c r="N35" s="226"/>
      <c r="O35" s="154">
        <v>0</v>
      </c>
      <c r="P35" s="154"/>
      <c r="Q35" s="154">
        <f t="shared" si="5"/>
        <v>-66620240</v>
      </c>
      <c r="R35" s="224"/>
      <c r="S35" s="154">
        <f t="shared" si="1"/>
        <v>-5043820</v>
      </c>
      <c r="T35" s="224"/>
      <c r="U35" s="357">
        <f>O35+Q35+S35</f>
        <v>-71664060</v>
      </c>
      <c r="V35" s="222"/>
      <c r="W35" s="206">
        <f>U35/درآمدها!$E$11</f>
        <v>-1.3072632975780316E-4</v>
      </c>
      <c r="Y35" s="162"/>
    </row>
    <row r="36" spans="1:25" s="60" customFormat="1" ht="42.75" customHeight="1">
      <c r="A36" s="142"/>
      <c r="B36" s="142" t="s">
        <v>297</v>
      </c>
      <c r="C36" s="153" t="s">
        <v>111</v>
      </c>
      <c r="D36" s="226"/>
      <c r="E36" s="154">
        <v>0</v>
      </c>
      <c r="F36" s="154"/>
      <c r="G36" s="154">
        <f t="shared" si="4"/>
        <v>2276002771</v>
      </c>
      <c r="H36" s="224"/>
      <c r="I36" s="154">
        <f t="shared" si="0"/>
        <v>0</v>
      </c>
      <c r="J36" s="225"/>
      <c r="K36" s="155">
        <f t="shared" si="2"/>
        <v>2276002771</v>
      </c>
      <c r="L36" s="155"/>
      <c r="M36" s="206">
        <f>K36/($K$203+'درآمد سرمایه گذاری در اوراق بها'!$I$11+'درآمد سپرده بانکی'!$E$11+'سایر درآمدها'!$C$11)</f>
        <v>5.943180513664304E-3</v>
      </c>
      <c r="N36" s="226"/>
      <c r="O36" s="154">
        <v>0</v>
      </c>
      <c r="P36" s="154"/>
      <c r="Q36" s="154">
        <f t="shared" si="5"/>
        <v>2610238909</v>
      </c>
      <c r="R36" s="224"/>
      <c r="S36" s="154">
        <f t="shared" si="1"/>
        <v>1771923</v>
      </c>
      <c r="T36" s="224"/>
      <c r="U36" s="355">
        <f t="shared" si="3"/>
        <v>2612010832</v>
      </c>
      <c r="V36" s="222"/>
      <c r="W36" s="206">
        <f>U36/درآمدها!$E$11</f>
        <v>4.7647117586553959E-3</v>
      </c>
      <c r="Y36" s="162"/>
    </row>
    <row r="37" spans="1:25" s="60" customFormat="1" ht="42.75" customHeight="1">
      <c r="A37" s="142"/>
      <c r="B37" s="142" t="s">
        <v>298</v>
      </c>
      <c r="C37" s="153" t="s">
        <v>275</v>
      </c>
      <c r="D37" s="226"/>
      <c r="E37" s="154">
        <v>0</v>
      </c>
      <c r="F37" s="154"/>
      <c r="G37" s="154">
        <f t="shared" si="4"/>
        <v>-120794939</v>
      </c>
      <c r="H37" s="224"/>
      <c r="I37" s="154">
        <f t="shared" si="0"/>
        <v>0</v>
      </c>
      <c r="J37" s="225"/>
      <c r="K37" s="155">
        <f t="shared" si="2"/>
        <v>-120794939</v>
      </c>
      <c r="L37" s="155"/>
      <c r="M37" s="206">
        <f>K37/($K$203+'درآمد سرمایه گذاری در اوراق بها'!$I$11+'درآمد سپرده بانکی'!$E$11+'سایر درآمدها'!$C$11)</f>
        <v>-3.1542410086726047E-4</v>
      </c>
      <c r="N37" s="226"/>
      <c r="O37" s="154">
        <v>0</v>
      </c>
      <c r="P37" s="154"/>
      <c r="Q37" s="154">
        <f t="shared" si="5"/>
        <v>697367628</v>
      </c>
      <c r="R37" s="224"/>
      <c r="S37" s="154">
        <f t="shared" si="1"/>
        <v>183581296</v>
      </c>
      <c r="T37" s="224"/>
      <c r="U37" s="355">
        <f t="shared" si="3"/>
        <v>880948924</v>
      </c>
      <c r="V37" s="222"/>
      <c r="W37" s="206">
        <f>U37/درآمدها!$E$11</f>
        <v>1.6069870942088109E-3</v>
      </c>
      <c r="Y37" s="162"/>
    </row>
    <row r="38" spans="1:25" s="60" customFormat="1" ht="42.75" customHeight="1">
      <c r="A38" s="142"/>
      <c r="B38" s="142" t="s">
        <v>299</v>
      </c>
      <c r="C38" s="153" t="s">
        <v>108</v>
      </c>
      <c r="D38" s="226"/>
      <c r="E38" s="154">
        <v>0</v>
      </c>
      <c r="F38" s="154"/>
      <c r="G38" s="154">
        <f t="shared" si="4"/>
        <v>4308156376</v>
      </c>
      <c r="H38" s="224"/>
      <c r="I38" s="154">
        <f t="shared" si="0"/>
        <v>21573388</v>
      </c>
      <c r="J38" s="225"/>
      <c r="K38" s="155">
        <f t="shared" si="2"/>
        <v>4329729764</v>
      </c>
      <c r="L38" s="155"/>
      <c r="M38" s="206">
        <f>K38/($K$203+'درآمد سرمایه گذاری در اوراق بها'!$I$11+'درآمد سپرده بانکی'!$E$11+'سایر درآمدها'!$C$11)</f>
        <v>1.1305946500026096E-2</v>
      </c>
      <c r="N38" s="226"/>
      <c r="O38" s="154">
        <v>1242403239</v>
      </c>
      <c r="P38" s="154"/>
      <c r="Q38" s="154">
        <f t="shared" si="5"/>
        <v>4726210605</v>
      </c>
      <c r="R38" s="224"/>
      <c r="S38" s="154">
        <f t="shared" si="1"/>
        <v>-70347404</v>
      </c>
      <c r="T38" s="224"/>
      <c r="U38" s="355">
        <f t="shared" si="3"/>
        <v>5898266440</v>
      </c>
      <c r="V38" s="222"/>
      <c r="W38" s="206">
        <f>U38/درآمدها!$E$11</f>
        <v>1.0759350274528456E-2</v>
      </c>
      <c r="Y38" s="162"/>
    </row>
    <row r="39" spans="1:25" s="60" customFormat="1" ht="42.75" customHeight="1">
      <c r="A39" s="142"/>
      <c r="B39" s="142" t="s">
        <v>300</v>
      </c>
      <c r="C39" s="153" t="s">
        <v>116</v>
      </c>
      <c r="D39" s="226"/>
      <c r="E39" s="154">
        <v>0</v>
      </c>
      <c r="F39" s="154"/>
      <c r="G39" s="154">
        <f t="shared" si="4"/>
        <v>336893862</v>
      </c>
      <c r="H39" s="224"/>
      <c r="I39" s="154">
        <f t="shared" si="0"/>
        <v>-2400463</v>
      </c>
      <c r="J39" s="225"/>
      <c r="K39" s="155">
        <f t="shared" si="2"/>
        <v>334493399</v>
      </c>
      <c r="L39" s="155"/>
      <c r="M39" s="206">
        <f>K39/($K$203+'درآمد سرمایه گذاری در اوراق بها'!$I$11+'درآمد سپرده بانکی'!$E$11+'سایر درآمدها'!$C$11)</f>
        <v>8.7344122608985135E-4</v>
      </c>
      <c r="N39" s="226"/>
      <c r="O39" s="154">
        <v>0</v>
      </c>
      <c r="P39" s="154"/>
      <c r="Q39" s="154">
        <f t="shared" si="5"/>
        <v>180027535</v>
      </c>
      <c r="R39" s="224"/>
      <c r="S39" s="154">
        <f t="shared" si="1"/>
        <v>-161081015</v>
      </c>
      <c r="T39" s="224"/>
      <c r="U39" s="355">
        <f t="shared" si="3"/>
        <v>18946520</v>
      </c>
      <c r="V39" s="222"/>
      <c r="W39" s="206">
        <f>U39/درآمدها!$E$11</f>
        <v>3.4561382948200436E-5</v>
      </c>
      <c r="Y39" s="162"/>
    </row>
    <row r="40" spans="1:25" s="60" customFormat="1" ht="42.75" customHeight="1">
      <c r="A40" s="142"/>
      <c r="B40" s="142" t="s">
        <v>301</v>
      </c>
      <c r="C40" s="153" t="s">
        <v>273</v>
      </c>
      <c r="D40" s="226"/>
      <c r="E40" s="154">
        <v>0</v>
      </c>
      <c r="F40" s="154"/>
      <c r="G40" s="154">
        <f t="shared" si="4"/>
        <v>2123597700</v>
      </c>
      <c r="H40" s="224"/>
      <c r="I40" s="154">
        <f t="shared" si="0"/>
        <v>11824089</v>
      </c>
      <c r="J40" s="225"/>
      <c r="K40" s="155">
        <f t="shared" si="2"/>
        <v>2135421789</v>
      </c>
      <c r="L40" s="155"/>
      <c r="M40" s="206">
        <f>K40/($K$203+'درآمد سرمایه گذاری در اوراق بها'!$I$11+'درآمد سپرده بانکی'!$E$11+'سایر درآمدها'!$C$11)</f>
        <v>5.5760903837840572E-3</v>
      </c>
      <c r="N40" s="226"/>
      <c r="O40" s="154">
        <v>0</v>
      </c>
      <c r="P40" s="154"/>
      <c r="Q40" s="154">
        <f t="shared" si="5"/>
        <v>2894388647</v>
      </c>
      <c r="R40" s="224"/>
      <c r="S40" s="154">
        <f t="shared" si="1"/>
        <v>155576836</v>
      </c>
      <c r="T40" s="224"/>
      <c r="U40" s="355">
        <f t="shared" si="3"/>
        <v>3049965483</v>
      </c>
      <c r="V40" s="222"/>
      <c r="W40" s="206">
        <f>U40/درآمدها!$E$11</f>
        <v>5.5636087807553105E-3</v>
      </c>
      <c r="Y40" s="162"/>
    </row>
    <row r="41" spans="1:25" s="60" customFormat="1" ht="42.75" customHeight="1">
      <c r="A41" s="142"/>
      <c r="B41" s="142" t="s">
        <v>302</v>
      </c>
      <c r="C41" s="153" t="s">
        <v>257</v>
      </c>
      <c r="D41" s="226"/>
      <c r="E41" s="154">
        <v>0</v>
      </c>
      <c r="F41" s="154"/>
      <c r="G41" s="154">
        <f t="shared" si="4"/>
        <v>97038924</v>
      </c>
      <c r="H41" s="224"/>
      <c r="I41" s="154">
        <f t="shared" si="0"/>
        <v>0</v>
      </c>
      <c r="J41" s="225"/>
      <c r="K41" s="155">
        <f t="shared" si="2"/>
        <v>97038924</v>
      </c>
      <c r="L41" s="155"/>
      <c r="M41" s="206">
        <f>K41/($K$203+'درآمد سرمایه گذاری در اوراق بها'!$I$11+'درآمد سپرده بانکی'!$E$11+'سایر درآمدها'!$C$11)</f>
        <v>2.5339153780131818E-4</v>
      </c>
      <c r="N41" s="226"/>
      <c r="O41" s="154">
        <v>0</v>
      </c>
      <c r="P41" s="154"/>
      <c r="Q41" s="154">
        <f t="shared" si="5"/>
        <v>192676125</v>
      </c>
      <c r="R41" s="224"/>
      <c r="S41" s="154">
        <f t="shared" si="1"/>
        <v>24730902</v>
      </c>
      <c r="T41" s="224"/>
      <c r="U41" s="355">
        <f t="shared" si="3"/>
        <v>217407027</v>
      </c>
      <c r="V41" s="222"/>
      <c r="W41" s="206">
        <f>U41/درآمدها!$E$11</f>
        <v>3.9658404370706342E-4</v>
      </c>
      <c r="Y41" s="162"/>
    </row>
    <row r="42" spans="1:25" s="60" customFormat="1" ht="42.75" customHeight="1">
      <c r="A42" s="142"/>
      <c r="B42" s="142" t="s">
        <v>303</v>
      </c>
      <c r="C42" s="153" t="s">
        <v>88</v>
      </c>
      <c r="D42" s="226"/>
      <c r="E42" s="154">
        <v>0</v>
      </c>
      <c r="F42" s="154"/>
      <c r="G42" s="154">
        <f t="shared" si="4"/>
        <v>6159825034</v>
      </c>
      <c r="H42" s="224"/>
      <c r="I42" s="154">
        <f t="shared" si="0"/>
        <v>35082003</v>
      </c>
      <c r="J42" s="225"/>
      <c r="K42" s="155">
        <f t="shared" si="2"/>
        <v>6194907037</v>
      </c>
      <c r="L42" s="155"/>
      <c r="M42" s="206">
        <f>K42/($K$203+'درآمد سرمایه گذاری در اوراق بها'!$I$11+'درآمد سپرده بانکی'!$E$11+'سایر درآمدها'!$C$11)</f>
        <v>1.617636465797619E-2</v>
      </c>
      <c r="N42" s="226"/>
      <c r="O42" s="154">
        <v>3995116450</v>
      </c>
      <c r="P42" s="154"/>
      <c r="Q42" s="154">
        <f t="shared" si="5"/>
        <v>7629905974</v>
      </c>
      <c r="R42" s="224"/>
      <c r="S42" s="154">
        <f t="shared" si="1"/>
        <v>181153011</v>
      </c>
      <c r="T42" s="224"/>
      <c r="U42" s="355">
        <f t="shared" si="3"/>
        <v>11806175435</v>
      </c>
      <c r="V42" s="222"/>
      <c r="W42" s="206">
        <f>U42/درآمدها!$E$11</f>
        <v>2.1536290060795958E-2</v>
      </c>
      <c r="Y42" s="162"/>
    </row>
    <row r="43" spans="1:25" s="60" customFormat="1" ht="42.75" customHeight="1">
      <c r="A43" s="142"/>
      <c r="B43" s="142" t="s">
        <v>304</v>
      </c>
      <c r="C43" s="153" t="s">
        <v>183</v>
      </c>
      <c r="D43" s="226"/>
      <c r="E43" s="154">
        <v>0</v>
      </c>
      <c r="F43" s="154"/>
      <c r="G43" s="154">
        <v>0</v>
      </c>
      <c r="H43" s="224"/>
      <c r="I43" s="154">
        <f t="shared" ref="I43:I74" si="6">VLOOKUP(B43,b,10,0)</f>
        <v>616368500</v>
      </c>
      <c r="J43" s="225"/>
      <c r="K43" s="155">
        <f t="shared" si="2"/>
        <v>616368500</v>
      </c>
      <c r="L43" s="155"/>
      <c r="M43" s="206">
        <f>K43/($K$203+'درآمد سرمایه گذاری در اوراق بها'!$I$11+'درآمد سپرده بانکی'!$E$11+'سایر درآمدها'!$C$11)</f>
        <v>1.609483654902148E-3</v>
      </c>
      <c r="N43" s="226"/>
      <c r="O43" s="154">
        <v>203006280</v>
      </c>
      <c r="P43" s="154"/>
      <c r="Q43" s="154">
        <v>0</v>
      </c>
      <c r="R43" s="224"/>
      <c r="S43" s="154">
        <f t="shared" ref="S43:S74" si="7">VLOOKUP(B43,b,18,0)</f>
        <v>744090943</v>
      </c>
      <c r="T43" s="224"/>
      <c r="U43" s="355">
        <f t="shared" si="3"/>
        <v>947097223</v>
      </c>
      <c r="V43" s="222"/>
      <c r="W43" s="206">
        <f>U43/درآمدها!$E$11</f>
        <v>1.7276518227769629E-3</v>
      </c>
      <c r="Y43" s="162"/>
    </row>
    <row r="44" spans="1:25" s="60" customFormat="1" ht="42.75" customHeight="1">
      <c r="A44" s="142"/>
      <c r="B44" s="142" t="s">
        <v>305</v>
      </c>
      <c r="C44" s="153" t="s">
        <v>188</v>
      </c>
      <c r="D44" s="226"/>
      <c r="E44" s="154">
        <v>0</v>
      </c>
      <c r="F44" s="154"/>
      <c r="G44" s="154">
        <f t="shared" ref="G44:G60" si="8">VLOOKUP(B44,a,10,0)</f>
        <v>3959724559</v>
      </c>
      <c r="H44" s="224"/>
      <c r="I44" s="154">
        <f t="shared" si="6"/>
        <v>-40041785</v>
      </c>
      <c r="J44" s="225"/>
      <c r="K44" s="155">
        <f t="shared" si="2"/>
        <v>3919682774</v>
      </c>
      <c r="L44" s="155"/>
      <c r="M44" s="206">
        <f>K44/($K$203+'درآمد سرمایه گذاری در اوراق بها'!$I$11+'درآمد سپرده بانکی'!$E$11+'سایر درآمدها'!$C$11)</f>
        <v>1.023521701247632E-2</v>
      </c>
      <c r="N44" s="226"/>
      <c r="O44" s="154">
        <v>3855594000</v>
      </c>
      <c r="P44" s="154"/>
      <c r="Q44" s="154">
        <f t="shared" ref="Q44:Q60" si="9">VLOOKUP(B44,a,18,0)</f>
        <v>-2368230861</v>
      </c>
      <c r="R44" s="224"/>
      <c r="S44" s="154">
        <f t="shared" si="7"/>
        <v>-1053991541</v>
      </c>
      <c r="T44" s="224"/>
      <c r="U44" s="355">
        <f t="shared" si="3"/>
        <v>433371598</v>
      </c>
      <c r="V44" s="222"/>
      <c r="W44" s="206">
        <f>U44/درآمدها!$E$11</f>
        <v>7.9053682456469961E-4</v>
      </c>
      <c r="Y44" s="162"/>
    </row>
    <row r="45" spans="1:25" s="60" customFormat="1" ht="42.75" customHeight="1">
      <c r="A45" s="142"/>
      <c r="B45" s="142" t="s">
        <v>306</v>
      </c>
      <c r="C45" s="153" t="s">
        <v>221</v>
      </c>
      <c r="D45" s="226"/>
      <c r="E45" s="154">
        <v>0</v>
      </c>
      <c r="F45" s="154"/>
      <c r="G45" s="154">
        <f t="shared" si="8"/>
        <v>1001675217</v>
      </c>
      <c r="H45" s="224"/>
      <c r="I45" s="154">
        <f t="shared" si="6"/>
        <v>-16018390</v>
      </c>
      <c r="J45" s="225"/>
      <c r="K45" s="155">
        <f t="shared" si="2"/>
        <v>985656827</v>
      </c>
      <c r="L45" s="155"/>
      <c r="M45" s="206">
        <f>K45/($K$203+'درآمد سرمایه گذاری در اوراق بها'!$I$11+'درآمد سپرده بانکی'!$E$11+'سایر درآمدها'!$C$11)</f>
        <v>2.5737826517727856E-3</v>
      </c>
      <c r="N45" s="226"/>
      <c r="O45" s="154">
        <v>1359850000</v>
      </c>
      <c r="P45" s="154"/>
      <c r="Q45" s="154">
        <f t="shared" si="9"/>
        <v>-717080676</v>
      </c>
      <c r="R45" s="224"/>
      <c r="S45" s="154">
        <f t="shared" si="7"/>
        <v>-364008332</v>
      </c>
      <c r="T45" s="224"/>
      <c r="U45" s="355">
        <f t="shared" si="3"/>
        <v>278760992</v>
      </c>
      <c r="V45" s="222"/>
      <c r="W45" s="206">
        <f>U45/درآمدها!$E$11</f>
        <v>5.0850316551705741E-4</v>
      </c>
      <c r="Y45" s="162"/>
    </row>
    <row r="46" spans="1:25" s="60" customFormat="1" ht="42.75" customHeight="1">
      <c r="A46" s="142"/>
      <c r="B46" s="142" t="s">
        <v>307</v>
      </c>
      <c r="C46" s="153" t="s">
        <v>126</v>
      </c>
      <c r="D46" s="226"/>
      <c r="E46" s="154">
        <v>0</v>
      </c>
      <c r="F46" s="154"/>
      <c r="G46" s="154">
        <f t="shared" si="8"/>
        <v>182918117</v>
      </c>
      <c r="H46" s="224"/>
      <c r="I46" s="154">
        <f t="shared" si="6"/>
        <v>3917170</v>
      </c>
      <c r="J46" s="225"/>
      <c r="K46" s="155">
        <f t="shared" si="2"/>
        <v>186835287</v>
      </c>
      <c r="L46" s="155"/>
      <c r="M46" s="206">
        <f>K46/($K$203+'درآمد سرمایه گذاری در اوراق بها'!$I$11+'درآمد سپرده بانکی'!$E$11+'سایر درآمدها'!$C$11)</f>
        <v>4.8787103913560119E-4</v>
      </c>
      <c r="N46" s="226"/>
      <c r="O46" s="154">
        <v>405581250</v>
      </c>
      <c r="P46" s="154"/>
      <c r="Q46" s="154">
        <f t="shared" si="9"/>
        <v>51498644</v>
      </c>
      <c r="R46" s="224"/>
      <c r="S46" s="154">
        <f t="shared" si="7"/>
        <v>-64207104</v>
      </c>
      <c r="T46" s="224"/>
      <c r="U46" s="355">
        <f t="shared" si="3"/>
        <v>392872790</v>
      </c>
      <c r="V46" s="222"/>
      <c r="W46" s="206">
        <f>U46/درآمدها!$E$11</f>
        <v>7.1666073480079349E-4</v>
      </c>
      <c r="Y46" s="162"/>
    </row>
    <row r="47" spans="1:25" s="60" customFormat="1" ht="42.75" customHeight="1">
      <c r="A47" s="142"/>
      <c r="B47" s="142" t="s">
        <v>308</v>
      </c>
      <c r="C47" s="153" t="s">
        <v>186</v>
      </c>
      <c r="D47" s="226"/>
      <c r="E47" s="154">
        <v>0</v>
      </c>
      <c r="F47" s="154"/>
      <c r="G47" s="154">
        <f t="shared" si="8"/>
        <v>4501014967</v>
      </c>
      <c r="H47" s="224"/>
      <c r="I47" s="154">
        <f t="shared" si="6"/>
        <v>-41990091</v>
      </c>
      <c r="J47" s="225"/>
      <c r="K47" s="155">
        <f t="shared" si="2"/>
        <v>4459024876</v>
      </c>
      <c r="L47" s="155"/>
      <c r="M47" s="206">
        <f>K47/($K$203+'درآمد سرمایه گذاری در اوراق بها'!$I$11+'درآمد سپرده بانکی'!$E$11+'سایر درآمدها'!$C$11)</f>
        <v>1.1643566559167248E-2</v>
      </c>
      <c r="N47" s="226"/>
      <c r="O47" s="154">
        <v>1119769000</v>
      </c>
      <c r="P47" s="154"/>
      <c r="Q47" s="154">
        <f t="shared" si="9"/>
        <v>1741873961</v>
      </c>
      <c r="R47" s="224"/>
      <c r="S47" s="154">
        <f t="shared" si="7"/>
        <v>-674894636</v>
      </c>
      <c r="T47" s="224"/>
      <c r="U47" s="355">
        <f t="shared" si="3"/>
        <v>2186748325</v>
      </c>
      <c r="V47" s="222"/>
      <c r="W47" s="206">
        <f>U47/درآمدها!$E$11</f>
        <v>3.9889671703120608E-3</v>
      </c>
      <c r="Y47" s="162"/>
    </row>
    <row r="48" spans="1:25" s="60" customFormat="1" ht="42.75" customHeight="1">
      <c r="A48" s="142"/>
      <c r="B48" s="142" t="s">
        <v>309</v>
      </c>
      <c r="C48" s="153" t="s">
        <v>181</v>
      </c>
      <c r="D48" s="226"/>
      <c r="E48" s="154">
        <v>0</v>
      </c>
      <c r="F48" s="154"/>
      <c r="G48" s="154">
        <f t="shared" si="8"/>
        <v>36646475</v>
      </c>
      <c r="H48" s="224"/>
      <c r="I48" s="154">
        <f t="shared" si="6"/>
        <v>-1216001</v>
      </c>
      <c r="J48" s="225"/>
      <c r="K48" s="155">
        <f t="shared" si="2"/>
        <v>35430474</v>
      </c>
      <c r="L48" s="155"/>
      <c r="M48" s="206">
        <f>K48/($K$203+'درآمد سرمایه گذاری در اوراق بها'!$I$11+'درآمد سپرده بانکی'!$E$11+'سایر درآمدها'!$C$11)</f>
        <v>9.2517331415274356E-5</v>
      </c>
      <c r="N48" s="226"/>
      <c r="O48" s="154">
        <v>0</v>
      </c>
      <c r="P48" s="154"/>
      <c r="Q48" s="154">
        <f t="shared" si="9"/>
        <v>-61622560</v>
      </c>
      <c r="R48" s="224"/>
      <c r="S48" s="154">
        <f t="shared" si="7"/>
        <v>-14273077</v>
      </c>
      <c r="T48" s="224"/>
      <c r="U48" s="355">
        <f t="shared" si="3"/>
        <v>-75895637</v>
      </c>
      <c r="V48" s="222"/>
      <c r="W48" s="206">
        <f>U48/درآمدها!$E$11</f>
        <v>-1.3844538070604048E-4</v>
      </c>
      <c r="Y48" s="162"/>
    </row>
    <row r="49" spans="1:25" s="60" customFormat="1" ht="42.75" customHeight="1">
      <c r="A49" s="142"/>
      <c r="B49" s="142" t="s">
        <v>501</v>
      </c>
      <c r="C49" s="153" t="s">
        <v>482</v>
      </c>
      <c r="D49" s="226"/>
      <c r="E49" s="154">
        <v>0</v>
      </c>
      <c r="F49" s="154"/>
      <c r="G49" s="154">
        <f t="shared" si="8"/>
        <v>-68082127</v>
      </c>
      <c r="H49" s="224"/>
      <c r="I49" s="154">
        <f t="shared" si="6"/>
        <v>0</v>
      </c>
      <c r="J49" s="225"/>
      <c r="K49" s="155">
        <f t="shared" si="2"/>
        <v>-68082127</v>
      </c>
      <c r="L49" s="155"/>
      <c r="M49" s="206">
        <f>K49/($K$203+'درآمد سرمایه گذاری در اوراق بها'!$I$11+'درآمد سپرده بانکی'!$E$11+'سایر درآمدها'!$C$11)</f>
        <v>-1.7777850522450811E-4</v>
      </c>
      <c r="N49" s="226"/>
      <c r="O49" s="154">
        <v>0</v>
      </c>
      <c r="P49" s="154"/>
      <c r="Q49" s="154">
        <f t="shared" si="9"/>
        <v>115435756</v>
      </c>
      <c r="R49" s="224"/>
      <c r="S49" s="154">
        <f t="shared" si="7"/>
        <v>9827943</v>
      </c>
      <c r="T49" s="224"/>
      <c r="U49" s="355">
        <f t="shared" si="3"/>
        <v>125263699</v>
      </c>
      <c r="V49" s="222"/>
      <c r="W49" s="206">
        <f>U49/درآمدها!$E$11</f>
        <v>2.2850036157812155E-4</v>
      </c>
      <c r="Y49" s="162"/>
    </row>
    <row r="50" spans="1:25" s="60" customFormat="1" ht="42.75" customHeight="1">
      <c r="A50" s="142"/>
      <c r="B50" s="142" t="s">
        <v>310</v>
      </c>
      <c r="C50" s="153" t="s">
        <v>265</v>
      </c>
      <c r="D50" s="226"/>
      <c r="E50" s="154">
        <v>0</v>
      </c>
      <c r="F50" s="154"/>
      <c r="G50" s="154">
        <f t="shared" si="8"/>
        <v>63964786</v>
      </c>
      <c r="H50" s="224"/>
      <c r="I50" s="154">
        <f t="shared" si="6"/>
        <v>5848829</v>
      </c>
      <c r="J50" s="225"/>
      <c r="K50" s="155">
        <f t="shared" si="2"/>
        <v>69813615</v>
      </c>
      <c r="L50" s="155"/>
      <c r="M50" s="206">
        <f>K50/($K$203+'درآمد سرمایه گذاری در اوراق بها'!$I$11+'درآمد سپرده بانکی'!$E$11+'سایر درآمدها'!$C$11)</f>
        <v>1.8229982913165003E-4</v>
      </c>
      <c r="N50" s="226"/>
      <c r="O50" s="154">
        <v>0</v>
      </c>
      <c r="P50" s="154"/>
      <c r="Q50" s="154">
        <f t="shared" si="9"/>
        <v>157368009</v>
      </c>
      <c r="R50" s="224"/>
      <c r="S50" s="154">
        <f t="shared" si="7"/>
        <v>21768036</v>
      </c>
      <c r="T50" s="224"/>
      <c r="U50" s="355">
        <f t="shared" si="3"/>
        <v>179136045</v>
      </c>
      <c r="V50" s="222"/>
      <c r="W50" s="206">
        <f>U50/درآمدها!$E$11</f>
        <v>3.2677185314617491E-4</v>
      </c>
      <c r="Y50" s="162"/>
    </row>
    <row r="51" spans="1:25" s="60" customFormat="1" ht="42.75" customHeight="1">
      <c r="A51" s="142"/>
      <c r="B51" s="142" t="s">
        <v>311</v>
      </c>
      <c r="C51" s="153" t="s">
        <v>258</v>
      </c>
      <c r="D51" s="226"/>
      <c r="E51" s="154">
        <v>0</v>
      </c>
      <c r="F51" s="154"/>
      <c r="G51" s="154">
        <f t="shared" si="8"/>
        <v>383186400</v>
      </c>
      <c r="H51" s="224"/>
      <c r="I51" s="154">
        <f t="shared" si="6"/>
        <v>12320783</v>
      </c>
      <c r="J51" s="225"/>
      <c r="K51" s="155">
        <f t="shared" si="2"/>
        <v>395507183</v>
      </c>
      <c r="L51" s="155"/>
      <c r="M51" s="206">
        <f>K51/($K$203+'درآمد سرمایه گذاری در اوراق بها'!$I$11+'درآمد سپرده بانکی'!$E$11+'سایر درآمدها'!$C$11)</f>
        <v>1.0327626191716363E-3</v>
      </c>
      <c r="N51" s="226"/>
      <c r="O51" s="154">
        <v>0</v>
      </c>
      <c r="P51" s="154"/>
      <c r="Q51" s="154">
        <f t="shared" si="9"/>
        <v>1338636844</v>
      </c>
      <c r="R51" s="224"/>
      <c r="S51" s="154">
        <f t="shared" si="7"/>
        <v>153722646</v>
      </c>
      <c r="T51" s="224"/>
      <c r="U51" s="355">
        <f t="shared" si="3"/>
        <v>1492359490</v>
      </c>
      <c r="V51" s="222"/>
      <c r="W51" s="206">
        <f>U51/درآمدها!$E$11</f>
        <v>2.7222945337862098E-3</v>
      </c>
      <c r="Y51" s="162"/>
    </row>
    <row r="52" spans="1:25" s="60" customFormat="1" ht="42.75" customHeight="1">
      <c r="A52" s="142"/>
      <c r="B52" s="142" t="s">
        <v>312</v>
      </c>
      <c r="C52" s="153" t="s">
        <v>259</v>
      </c>
      <c r="D52" s="226"/>
      <c r="E52" s="154">
        <v>0</v>
      </c>
      <c r="F52" s="154"/>
      <c r="G52" s="154">
        <f t="shared" si="8"/>
        <v>232204958</v>
      </c>
      <c r="H52" s="224"/>
      <c r="I52" s="154">
        <f t="shared" si="6"/>
        <v>21202769</v>
      </c>
      <c r="J52" s="225"/>
      <c r="K52" s="155">
        <f t="shared" si="2"/>
        <v>253407727</v>
      </c>
      <c r="L52" s="155"/>
      <c r="M52" s="206">
        <f>K52/($K$203+'درآمد سرمایه گذاری در اوراق بها'!$I$11+'درآمد سپرده بانکی'!$E$11+'سایر درآمدها'!$C$11)</f>
        <v>6.6170739522283459E-4</v>
      </c>
      <c r="N52" s="226"/>
      <c r="O52" s="154">
        <v>0</v>
      </c>
      <c r="P52" s="154"/>
      <c r="Q52" s="154">
        <f t="shared" si="9"/>
        <v>1856394505</v>
      </c>
      <c r="R52" s="224"/>
      <c r="S52" s="154">
        <f t="shared" si="7"/>
        <v>2689444015</v>
      </c>
      <c r="T52" s="224"/>
      <c r="U52" s="355">
        <f t="shared" si="3"/>
        <v>4545838520</v>
      </c>
      <c r="V52" s="222"/>
      <c r="W52" s="206">
        <f>U52/درآمدها!$E$11</f>
        <v>8.2923125677116793E-3</v>
      </c>
      <c r="Y52" s="162"/>
    </row>
    <row r="53" spans="1:25" s="60" customFormat="1" ht="42.75" customHeight="1">
      <c r="A53" s="142"/>
      <c r="B53" s="142" t="s">
        <v>313</v>
      </c>
      <c r="C53" s="153" t="s">
        <v>225</v>
      </c>
      <c r="D53" s="226"/>
      <c r="E53" s="154">
        <v>0</v>
      </c>
      <c r="F53" s="154"/>
      <c r="G53" s="154">
        <f t="shared" si="8"/>
        <v>1877743033</v>
      </c>
      <c r="H53" s="224"/>
      <c r="I53" s="154">
        <f t="shared" si="6"/>
        <v>26809780</v>
      </c>
      <c r="J53" s="225"/>
      <c r="K53" s="155">
        <f t="shared" si="2"/>
        <v>1904552813</v>
      </c>
      <c r="L53" s="155"/>
      <c r="M53" s="206">
        <f>K53/($K$203+'درآمد سرمایه گذاری در اوراق بها'!$I$11+'درآمد سپرده بانکی'!$E$11+'سایر درآمدها'!$C$11)</f>
        <v>4.9732369879729533E-3</v>
      </c>
      <c r="N53" s="226"/>
      <c r="O53" s="154">
        <v>0</v>
      </c>
      <c r="P53" s="154"/>
      <c r="Q53" s="154">
        <f t="shared" si="9"/>
        <v>2106871363</v>
      </c>
      <c r="R53" s="224"/>
      <c r="S53" s="154">
        <f t="shared" si="7"/>
        <v>71922049</v>
      </c>
      <c r="T53" s="224"/>
      <c r="U53" s="355">
        <f t="shared" si="3"/>
        <v>2178793412</v>
      </c>
      <c r="V53" s="222"/>
      <c r="W53" s="206">
        <f>U53/درآمدها!$E$11</f>
        <v>3.9744561786094887E-3</v>
      </c>
      <c r="Y53" s="162"/>
    </row>
    <row r="54" spans="1:25" s="60" customFormat="1" ht="42.75" customHeight="1">
      <c r="A54" s="142"/>
      <c r="B54" s="142" t="s">
        <v>314</v>
      </c>
      <c r="C54" s="153" t="s">
        <v>210</v>
      </c>
      <c r="D54" s="226"/>
      <c r="E54" s="154">
        <v>0</v>
      </c>
      <c r="F54" s="154"/>
      <c r="G54" s="154">
        <f t="shared" si="8"/>
        <v>1859316910</v>
      </c>
      <c r="H54" s="224"/>
      <c r="I54" s="154">
        <f t="shared" si="6"/>
        <v>16082074</v>
      </c>
      <c r="J54" s="225"/>
      <c r="K54" s="155">
        <f t="shared" si="2"/>
        <v>1875398984</v>
      </c>
      <c r="L54" s="155"/>
      <c r="M54" s="206">
        <f>K54/($K$203+'درآمد سرمایه گذاری در اوراق بها'!$I$11+'درآمد سپرده بانکی'!$E$11+'سایر درآمدها'!$C$11)</f>
        <v>4.8971094583323046E-3</v>
      </c>
      <c r="N54" s="226"/>
      <c r="O54" s="154">
        <v>177658052</v>
      </c>
      <c r="P54" s="154"/>
      <c r="Q54" s="154">
        <f t="shared" si="9"/>
        <v>2909001302</v>
      </c>
      <c r="R54" s="224"/>
      <c r="S54" s="154">
        <f t="shared" si="7"/>
        <v>79518495</v>
      </c>
      <c r="T54" s="224"/>
      <c r="U54" s="355">
        <f t="shared" si="3"/>
        <v>3166177849</v>
      </c>
      <c r="V54" s="222"/>
      <c r="W54" s="206">
        <f>U54/درآمدها!$E$11</f>
        <v>5.7755981109670019E-3</v>
      </c>
      <c r="Y54" s="162"/>
    </row>
    <row r="55" spans="1:25" s="60" customFormat="1" ht="42.75" customHeight="1">
      <c r="A55" s="142"/>
      <c r="B55" s="142" t="s">
        <v>315</v>
      </c>
      <c r="C55" s="153" t="s">
        <v>146</v>
      </c>
      <c r="D55" s="226"/>
      <c r="E55" s="154">
        <v>0</v>
      </c>
      <c r="F55" s="154"/>
      <c r="G55" s="154">
        <f t="shared" si="8"/>
        <v>2183149724</v>
      </c>
      <c r="H55" s="224"/>
      <c r="I55" s="154">
        <f t="shared" si="6"/>
        <v>16184910</v>
      </c>
      <c r="J55" s="225"/>
      <c r="K55" s="155">
        <f t="shared" si="2"/>
        <v>2199334634</v>
      </c>
      <c r="L55" s="155"/>
      <c r="M55" s="206">
        <f>K55/($K$203+'درآمد سرمایه گذاری در اوراق بها'!$I$11+'درآمد سپرده بانکی'!$E$11+'سایر درآمدها'!$C$11)</f>
        <v>5.7429819094960205E-3</v>
      </c>
      <c r="N55" s="226"/>
      <c r="O55" s="154">
        <v>97559875</v>
      </c>
      <c r="P55" s="154"/>
      <c r="Q55" s="154">
        <f t="shared" si="9"/>
        <v>3435158312</v>
      </c>
      <c r="R55" s="224"/>
      <c r="S55" s="154">
        <f t="shared" si="7"/>
        <v>104619817</v>
      </c>
      <c r="T55" s="224"/>
      <c r="U55" s="355">
        <f t="shared" si="3"/>
        <v>3637338004</v>
      </c>
      <c r="V55" s="222"/>
      <c r="W55" s="206">
        <f>U55/درآمدها!$E$11</f>
        <v>6.6350671082756624E-3</v>
      </c>
      <c r="Y55" s="162"/>
    </row>
    <row r="56" spans="1:25" s="60" customFormat="1" ht="42.75" customHeight="1">
      <c r="A56" s="142"/>
      <c r="B56" s="142" t="s">
        <v>316</v>
      </c>
      <c r="C56" s="153" t="s">
        <v>200</v>
      </c>
      <c r="D56" s="226"/>
      <c r="E56" s="154">
        <v>0</v>
      </c>
      <c r="F56" s="154"/>
      <c r="G56" s="154">
        <f t="shared" si="8"/>
        <v>0</v>
      </c>
      <c r="H56" s="224"/>
      <c r="I56" s="154">
        <f t="shared" si="6"/>
        <v>0</v>
      </c>
      <c r="J56" s="225"/>
      <c r="K56" s="155">
        <f t="shared" si="2"/>
        <v>0</v>
      </c>
      <c r="L56" s="155"/>
      <c r="M56" s="206">
        <f>K56/($K$203+'درآمد سرمایه گذاری در اوراق بها'!$I$11+'درآمد سپرده بانکی'!$E$11+'سایر درآمدها'!$C$11)</f>
        <v>0</v>
      </c>
      <c r="N56" s="226"/>
      <c r="O56" s="154">
        <v>0</v>
      </c>
      <c r="P56" s="154"/>
      <c r="Q56" s="154">
        <f t="shared" si="9"/>
        <v>-1708139355</v>
      </c>
      <c r="R56" s="224"/>
      <c r="S56" s="154">
        <f t="shared" si="7"/>
        <v>42878020</v>
      </c>
      <c r="T56" s="224"/>
      <c r="U56" s="355">
        <f t="shared" si="3"/>
        <v>-1665261335</v>
      </c>
      <c r="V56" s="222"/>
      <c r="W56" s="206">
        <f>U56/درآمدها!$E$11</f>
        <v>-3.0376942418853959E-3</v>
      </c>
      <c r="Y56" s="162"/>
    </row>
    <row r="57" spans="1:25" s="60" customFormat="1" ht="42.75" customHeight="1">
      <c r="A57" s="142"/>
      <c r="B57" s="142" t="s">
        <v>317</v>
      </c>
      <c r="C57" s="153" t="s">
        <v>155</v>
      </c>
      <c r="D57" s="226"/>
      <c r="E57" s="154">
        <v>0</v>
      </c>
      <c r="F57" s="154"/>
      <c r="G57" s="154">
        <f t="shared" si="8"/>
        <v>1586242335</v>
      </c>
      <c r="H57" s="224"/>
      <c r="I57" s="154">
        <f t="shared" si="6"/>
        <v>-5409908</v>
      </c>
      <c r="J57" s="225"/>
      <c r="K57" s="155">
        <f t="shared" si="2"/>
        <v>1580832427</v>
      </c>
      <c r="L57" s="155"/>
      <c r="M57" s="206">
        <f>K57/($K$203+'درآمد سرمایه گذاری در اوراق بها'!$I$11+'درآمد سپرده بانکی'!$E$11+'سایر درآمدها'!$C$11)</f>
        <v>4.1279266419289645E-3</v>
      </c>
      <c r="N57" s="226"/>
      <c r="O57" s="154">
        <v>1357020000</v>
      </c>
      <c r="P57" s="154"/>
      <c r="Q57" s="154">
        <f t="shared" si="9"/>
        <v>1448144439</v>
      </c>
      <c r="R57" s="224"/>
      <c r="S57" s="154">
        <f t="shared" si="7"/>
        <v>129882450</v>
      </c>
      <c r="T57" s="224"/>
      <c r="U57" s="355">
        <f t="shared" si="3"/>
        <v>2935046889</v>
      </c>
      <c r="V57" s="222"/>
      <c r="W57" s="206">
        <f>U57/درآمدها!$E$11</f>
        <v>5.353979490780013E-3</v>
      </c>
      <c r="Y57" s="162"/>
    </row>
    <row r="58" spans="1:25" s="60" customFormat="1" ht="42.75" customHeight="1">
      <c r="A58" s="142"/>
      <c r="B58" s="142" t="s">
        <v>318</v>
      </c>
      <c r="C58" s="153" t="s">
        <v>93</v>
      </c>
      <c r="D58" s="226"/>
      <c r="E58" s="154">
        <v>0</v>
      </c>
      <c r="F58" s="154"/>
      <c r="G58" s="154">
        <f t="shared" si="8"/>
        <v>3175259032</v>
      </c>
      <c r="H58" s="224"/>
      <c r="I58" s="154">
        <f t="shared" si="6"/>
        <v>89652742</v>
      </c>
      <c r="J58" s="225"/>
      <c r="K58" s="155">
        <f t="shared" si="2"/>
        <v>3264911774</v>
      </c>
      <c r="L58" s="155"/>
      <c r="M58" s="206">
        <f>K58/($K$203+'درآمد سرمایه گذاری در اوراق بها'!$I$11+'درآمد سپرده بانکی'!$E$11+'سایر درآمدها'!$C$11)</f>
        <v>8.5254553646894292E-3</v>
      </c>
      <c r="N58" s="226"/>
      <c r="O58" s="154">
        <v>509397000</v>
      </c>
      <c r="P58" s="154"/>
      <c r="Q58" s="154">
        <f t="shared" si="9"/>
        <v>8626472927</v>
      </c>
      <c r="R58" s="224"/>
      <c r="S58" s="154">
        <f t="shared" si="7"/>
        <v>1019596018</v>
      </c>
      <c r="T58" s="224"/>
      <c r="U58" s="355">
        <f t="shared" si="3"/>
        <v>10155465945</v>
      </c>
      <c r="V58" s="222"/>
      <c r="W58" s="206">
        <f>U58/درآمدها!$E$11</f>
        <v>1.8525140634932071E-2</v>
      </c>
      <c r="Y58" s="162"/>
    </row>
    <row r="59" spans="1:25" s="60" customFormat="1" ht="42.75" customHeight="1">
      <c r="A59" s="142"/>
      <c r="B59" s="142" t="s">
        <v>319</v>
      </c>
      <c r="C59" s="153" t="s">
        <v>216</v>
      </c>
      <c r="D59" s="226"/>
      <c r="E59" s="154">
        <v>0</v>
      </c>
      <c r="F59" s="154"/>
      <c r="G59" s="154">
        <f t="shared" si="8"/>
        <v>5670962444</v>
      </c>
      <c r="H59" s="224"/>
      <c r="I59" s="154">
        <f t="shared" si="6"/>
        <v>-46296826</v>
      </c>
      <c r="J59" s="225"/>
      <c r="K59" s="155">
        <f t="shared" si="2"/>
        <v>5624665618</v>
      </c>
      <c r="L59" s="155"/>
      <c r="M59" s="206">
        <f>K59/($K$203+'درآمد سرمایه گذاری در اوراق بها'!$I$11+'درآمد سپرده بانکی'!$E$11+'سایر درآمدها'!$C$11)</f>
        <v>1.4687329700432598E-2</v>
      </c>
      <c r="N59" s="226"/>
      <c r="O59" s="154">
        <v>0</v>
      </c>
      <c r="P59" s="154"/>
      <c r="Q59" s="154">
        <f t="shared" si="9"/>
        <v>-773345981</v>
      </c>
      <c r="R59" s="224"/>
      <c r="S59" s="154">
        <f t="shared" si="7"/>
        <v>-1412938382</v>
      </c>
      <c r="T59" s="224"/>
      <c r="U59" s="355">
        <f t="shared" si="3"/>
        <v>-2186284363</v>
      </c>
      <c r="V59" s="222"/>
      <c r="W59" s="206">
        <f>U59/درآمدها!$E$11</f>
        <v>-3.9881208318628143E-3</v>
      </c>
      <c r="Y59" s="162"/>
    </row>
    <row r="60" spans="1:25" s="60" customFormat="1" ht="42.75" customHeight="1">
      <c r="A60" s="142"/>
      <c r="B60" s="142" t="s">
        <v>320</v>
      </c>
      <c r="C60" s="153" t="s">
        <v>226</v>
      </c>
      <c r="D60" s="226"/>
      <c r="E60" s="154">
        <v>0</v>
      </c>
      <c r="F60" s="154"/>
      <c r="G60" s="154">
        <f t="shared" si="8"/>
        <v>5232596691</v>
      </c>
      <c r="H60" s="224"/>
      <c r="I60" s="154">
        <f t="shared" si="6"/>
        <v>16896305</v>
      </c>
      <c r="J60" s="225"/>
      <c r="K60" s="155">
        <f t="shared" si="2"/>
        <v>5249492996</v>
      </c>
      <c r="L60" s="155"/>
      <c r="M60" s="206">
        <f>K60/($K$203+'درآمد سرمایه گذاری در اوراق بها'!$I$11+'درآمد سپرده بانکی'!$E$11+'سایر درآمدها'!$C$11)</f>
        <v>1.37076654202564E-2</v>
      </c>
      <c r="N60" s="226"/>
      <c r="O60" s="154">
        <v>0</v>
      </c>
      <c r="P60" s="154"/>
      <c r="Q60" s="154">
        <f t="shared" si="9"/>
        <v>6349115570</v>
      </c>
      <c r="R60" s="224"/>
      <c r="S60" s="154">
        <f t="shared" si="7"/>
        <v>99636909</v>
      </c>
      <c r="T60" s="224"/>
      <c r="U60" s="355">
        <f t="shared" si="3"/>
        <v>6448752479</v>
      </c>
      <c r="V60" s="222"/>
      <c r="W60" s="206">
        <f>U60/درآمدها!$E$11</f>
        <v>1.1763521953629261E-2</v>
      </c>
      <c r="Y60" s="162"/>
    </row>
    <row r="61" spans="1:25" s="60" customFormat="1" ht="42.75" customHeight="1">
      <c r="A61" s="142"/>
      <c r="B61" s="142" t="s">
        <v>321</v>
      </c>
      <c r="C61" s="153" t="s">
        <v>161</v>
      </c>
      <c r="D61" s="226"/>
      <c r="E61" s="154">
        <v>0</v>
      </c>
      <c r="F61" s="154"/>
      <c r="G61" s="154">
        <v>0</v>
      </c>
      <c r="H61" s="224"/>
      <c r="I61" s="154">
        <f t="shared" si="6"/>
        <v>0</v>
      </c>
      <c r="J61" s="225"/>
      <c r="K61" s="155">
        <f t="shared" si="2"/>
        <v>0</v>
      </c>
      <c r="L61" s="155"/>
      <c r="M61" s="206">
        <f>K61/($K$203+'درآمد سرمایه گذاری در اوراق بها'!$I$11+'درآمد سپرده بانکی'!$E$11+'سایر درآمدها'!$C$11)</f>
        <v>0</v>
      </c>
      <c r="N61" s="226"/>
      <c r="O61" s="154">
        <v>0</v>
      </c>
      <c r="P61" s="154"/>
      <c r="Q61" s="154">
        <v>0</v>
      </c>
      <c r="R61" s="224"/>
      <c r="S61" s="154">
        <f t="shared" si="7"/>
        <v>1161841566</v>
      </c>
      <c r="T61" s="224"/>
      <c r="U61" s="355">
        <f t="shared" si="3"/>
        <v>1161841566</v>
      </c>
      <c r="V61" s="222"/>
      <c r="W61" s="206">
        <f>U61/درآمدها!$E$11</f>
        <v>2.1193787190292935E-3</v>
      </c>
      <c r="Y61" s="162"/>
    </row>
    <row r="62" spans="1:25" s="60" customFormat="1" ht="42.75" customHeight="1">
      <c r="A62" s="142"/>
      <c r="B62" s="142" t="s">
        <v>502</v>
      </c>
      <c r="C62" s="153" t="s">
        <v>483</v>
      </c>
      <c r="D62" s="226"/>
      <c r="E62" s="154">
        <v>0</v>
      </c>
      <c r="F62" s="154"/>
      <c r="G62" s="154">
        <f t="shared" ref="G62:G99" si="10">VLOOKUP(B62,a,10,0)</f>
        <v>1917106073</v>
      </c>
      <c r="H62" s="224"/>
      <c r="I62" s="154">
        <f t="shared" si="6"/>
        <v>7964027</v>
      </c>
      <c r="J62" s="225"/>
      <c r="K62" s="155">
        <f t="shared" si="2"/>
        <v>1925070100</v>
      </c>
      <c r="L62" s="155"/>
      <c r="M62" s="206">
        <f>K62/($K$203+'درآمد سرمایه گذاری در اوراق بها'!$I$11+'درآمد سپرده بانکی'!$E$11+'سایر درآمدها'!$C$11)</f>
        <v>5.0268124676891238E-3</v>
      </c>
      <c r="N62" s="226"/>
      <c r="O62" s="154">
        <v>0</v>
      </c>
      <c r="P62" s="154"/>
      <c r="Q62" s="154">
        <f t="shared" ref="Q62:Q99" si="11">VLOOKUP(B62,a,18,0)</f>
        <v>2218596499</v>
      </c>
      <c r="R62" s="224"/>
      <c r="S62" s="154">
        <f t="shared" si="7"/>
        <v>66194818</v>
      </c>
      <c r="T62" s="224"/>
      <c r="U62" s="355">
        <f t="shared" si="3"/>
        <v>2284791317</v>
      </c>
      <c r="V62" s="222"/>
      <c r="W62" s="206">
        <f>U62/درآمدها!$E$11</f>
        <v>4.1678127520811325E-3</v>
      </c>
      <c r="Y62" s="162"/>
    </row>
    <row r="63" spans="1:25" s="60" customFormat="1" ht="42.75" customHeight="1">
      <c r="A63" s="142"/>
      <c r="B63" s="142" t="s">
        <v>322</v>
      </c>
      <c r="C63" s="153" t="s">
        <v>130</v>
      </c>
      <c r="D63" s="226"/>
      <c r="E63" s="154">
        <v>0</v>
      </c>
      <c r="F63" s="154"/>
      <c r="G63" s="154">
        <f t="shared" si="10"/>
        <v>291071634</v>
      </c>
      <c r="H63" s="224"/>
      <c r="I63" s="154">
        <f t="shared" si="6"/>
        <v>-10798424</v>
      </c>
      <c r="J63" s="225"/>
      <c r="K63" s="155">
        <f t="shared" si="2"/>
        <v>280273210</v>
      </c>
      <c r="L63" s="155"/>
      <c r="M63" s="206">
        <f>K63/($K$203+'درآمد سرمایه گذاری در اوراق بها'!$I$11+'درآمد سپرده بانکی'!$E$11+'سایر درآمدها'!$C$11)</f>
        <v>7.3185951326512838E-4</v>
      </c>
      <c r="N63" s="226"/>
      <c r="O63" s="154">
        <v>479200560</v>
      </c>
      <c r="P63" s="154"/>
      <c r="Q63" s="154">
        <f t="shared" si="11"/>
        <v>-463003269</v>
      </c>
      <c r="R63" s="224"/>
      <c r="S63" s="154">
        <f t="shared" si="7"/>
        <v>-727639709</v>
      </c>
      <c r="T63" s="224"/>
      <c r="U63" s="355">
        <f t="shared" si="3"/>
        <v>-711442418</v>
      </c>
      <c r="V63" s="222"/>
      <c r="W63" s="206">
        <f>U63/درآمدها!$E$11</f>
        <v>-1.2977810096044913E-3</v>
      </c>
      <c r="Y63" s="162"/>
    </row>
    <row r="64" spans="1:25" s="60" customFormat="1" ht="42.75" customHeight="1">
      <c r="A64" s="142"/>
      <c r="B64" s="142" t="s">
        <v>503</v>
      </c>
      <c r="C64" s="153" t="s">
        <v>484</v>
      </c>
      <c r="D64" s="226"/>
      <c r="E64" s="154">
        <v>0</v>
      </c>
      <c r="F64" s="154"/>
      <c r="G64" s="154">
        <f t="shared" si="10"/>
        <v>1850359923</v>
      </c>
      <c r="H64" s="224"/>
      <c r="I64" s="154">
        <f t="shared" si="6"/>
        <v>5296342</v>
      </c>
      <c r="J64" s="225"/>
      <c r="K64" s="155">
        <f t="shared" si="2"/>
        <v>1855656265</v>
      </c>
      <c r="L64" s="155"/>
      <c r="M64" s="206">
        <f>K64/($K$203+'درآمد سرمایه گذاری در اوراق بها'!$I$11+'درآمد سپرده بانکی'!$E$11+'سایر درآمدها'!$C$11)</f>
        <v>4.8455565585104835E-3</v>
      </c>
      <c r="N64" s="226"/>
      <c r="O64" s="154">
        <v>0</v>
      </c>
      <c r="P64" s="154"/>
      <c r="Q64" s="154">
        <f t="shared" si="11"/>
        <v>2141907973</v>
      </c>
      <c r="R64" s="224"/>
      <c r="S64" s="154">
        <f t="shared" si="7"/>
        <v>69743610</v>
      </c>
      <c r="T64" s="224"/>
      <c r="U64" s="355">
        <f t="shared" si="3"/>
        <v>2211651583</v>
      </c>
      <c r="V64" s="222"/>
      <c r="W64" s="206">
        <f>U64/درآمدها!$E$11</f>
        <v>4.0343945647040563E-3</v>
      </c>
      <c r="Y64" s="162"/>
    </row>
    <row r="65" spans="1:25" s="60" customFormat="1" ht="42.75" customHeight="1">
      <c r="A65" s="142"/>
      <c r="B65" s="142" t="s">
        <v>323</v>
      </c>
      <c r="C65" s="153" t="s">
        <v>103</v>
      </c>
      <c r="D65" s="226"/>
      <c r="E65" s="154">
        <v>0</v>
      </c>
      <c r="F65" s="154"/>
      <c r="G65" s="154">
        <f t="shared" si="10"/>
        <v>2273214967</v>
      </c>
      <c r="H65" s="224"/>
      <c r="I65" s="154">
        <f t="shared" si="6"/>
        <v>28620138</v>
      </c>
      <c r="J65" s="225"/>
      <c r="K65" s="155">
        <f t="shared" si="2"/>
        <v>2301835105</v>
      </c>
      <c r="L65" s="155"/>
      <c r="M65" s="206">
        <f>K65/($K$203+'درآمد سرمایه گذاری در اوراق بها'!$I$11+'درآمد سپرده بانکی'!$E$11+'سایر درآمدها'!$C$11)</f>
        <v>6.0106348357800076E-3</v>
      </c>
      <c r="N65" s="226"/>
      <c r="O65" s="154">
        <v>1142817130</v>
      </c>
      <c r="P65" s="154"/>
      <c r="Q65" s="154">
        <f t="shared" si="11"/>
        <v>5760746989</v>
      </c>
      <c r="R65" s="224"/>
      <c r="S65" s="154">
        <f t="shared" si="7"/>
        <v>546093255</v>
      </c>
      <c r="T65" s="224"/>
      <c r="U65" s="355">
        <f t="shared" si="3"/>
        <v>7449657374</v>
      </c>
      <c r="V65" s="222"/>
      <c r="W65" s="206">
        <f>U65/درآمدها!$E$11</f>
        <v>1.3589327292595117E-2</v>
      </c>
      <c r="Y65" s="162"/>
    </row>
    <row r="66" spans="1:25" s="60" customFormat="1" ht="42.75" customHeight="1">
      <c r="A66" s="142"/>
      <c r="B66" s="142" t="s">
        <v>449</v>
      </c>
      <c r="C66" s="153" t="s">
        <v>441</v>
      </c>
      <c r="D66" s="226"/>
      <c r="E66" s="154">
        <v>0</v>
      </c>
      <c r="F66" s="154"/>
      <c r="G66" s="154">
        <f t="shared" si="10"/>
        <v>1687863274</v>
      </c>
      <c r="H66" s="224"/>
      <c r="I66" s="154">
        <f t="shared" si="6"/>
        <v>816848</v>
      </c>
      <c r="J66" s="225"/>
      <c r="K66" s="155">
        <f t="shared" si="2"/>
        <v>1688680122</v>
      </c>
      <c r="L66" s="155"/>
      <c r="M66" s="206">
        <f>K66/($K$203+'درآمد سرمایه گذاری در اوراق بها'!$I$11+'درآمد سپرده بانکی'!$E$11+'سایر درآمدها'!$C$11)</f>
        <v>4.4095424323552634E-3</v>
      </c>
      <c r="N66" s="226"/>
      <c r="O66" s="154">
        <v>0</v>
      </c>
      <c r="P66" s="154"/>
      <c r="Q66" s="154">
        <f t="shared" si="11"/>
        <v>1642949693</v>
      </c>
      <c r="R66" s="224"/>
      <c r="S66" s="154">
        <f t="shared" si="7"/>
        <v>192514</v>
      </c>
      <c r="T66" s="224"/>
      <c r="U66" s="355">
        <f t="shared" si="3"/>
        <v>1643142207</v>
      </c>
      <c r="V66" s="222"/>
      <c r="W66" s="206">
        <f>U66/درآمدها!$E$11</f>
        <v>2.9973455312362497E-3</v>
      </c>
      <c r="Y66" s="162"/>
    </row>
    <row r="67" spans="1:25" s="60" customFormat="1" ht="42.75" customHeight="1">
      <c r="A67" s="142"/>
      <c r="B67" s="142" t="s">
        <v>324</v>
      </c>
      <c r="C67" s="153" t="s">
        <v>132</v>
      </c>
      <c r="D67" s="226"/>
      <c r="E67" s="154">
        <v>0</v>
      </c>
      <c r="F67" s="154"/>
      <c r="G67" s="154">
        <f t="shared" si="10"/>
        <v>1861856747</v>
      </c>
      <c r="H67" s="224"/>
      <c r="I67" s="154">
        <f t="shared" si="6"/>
        <v>-4454881</v>
      </c>
      <c r="J67" s="225"/>
      <c r="K67" s="155">
        <f t="shared" si="2"/>
        <v>1857401866</v>
      </c>
      <c r="L67" s="155"/>
      <c r="M67" s="206">
        <f>K67/($K$203+'درآمد سرمایه گذاری در اوراق بها'!$I$11+'درآمد سپرده بانکی'!$E$11+'سایر درآمدها'!$C$11)</f>
        <v>4.8501147347921733E-3</v>
      </c>
      <c r="N67" s="226"/>
      <c r="O67" s="154">
        <v>0</v>
      </c>
      <c r="P67" s="154"/>
      <c r="Q67" s="154">
        <f t="shared" si="11"/>
        <v>1624141462</v>
      </c>
      <c r="R67" s="224"/>
      <c r="S67" s="154">
        <f t="shared" si="7"/>
        <v>-82718334</v>
      </c>
      <c r="T67" s="224"/>
      <c r="U67" s="355">
        <f t="shared" si="3"/>
        <v>1541423128</v>
      </c>
      <c r="V67" s="222"/>
      <c r="W67" s="206">
        <f>U67/درآمدها!$E$11</f>
        <v>2.8117941981968706E-3</v>
      </c>
      <c r="Y67" s="162"/>
    </row>
    <row r="68" spans="1:25" s="60" customFormat="1" ht="42.75" customHeight="1">
      <c r="A68" s="142"/>
      <c r="B68" s="142" t="s">
        <v>325</v>
      </c>
      <c r="C68" s="153" t="s">
        <v>147</v>
      </c>
      <c r="D68" s="226"/>
      <c r="E68" s="154">
        <v>0</v>
      </c>
      <c r="F68" s="154"/>
      <c r="G68" s="154">
        <f t="shared" si="10"/>
        <v>1093735316</v>
      </c>
      <c r="H68" s="224"/>
      <c r="I68" s="154">
        <f t="shared" si="6"/>
        <v>4985592</v>
      </c>
      <c r="J68" s="225"/>
      <c r="K68" s="155">
        <f t="shared" si="2"/>
        <v>1098720908</v>
      </c>
      <c r="L68" s="155"/>
      <c r="M68" s="206">
        <f>K68/($K$203+'درآمد سرمایه گذاری در اوراق بها'!$I$11+'درآمد سپرده بانکی'!$E$11+'سایر درآمدها'!$C$11)</f>
        <v>2.8690196574374695E-3</v>
      </c>
      <c r="N68" s="226"/>
      <c r="O68" s="154">
        <v>0</v>
      </c>
      <c r="P68" s="154"/>
      <c r="Q68" s="154">
        <f t="shared" si="11"/>
        <v>1825014789</v>
      </c>
      <c r="R68" s="224"/>
      <c r="S68" s="154">
        <f t="shared" si="7"/>
        <v>67070552</v>
      </c>
      <c r="T68" s="224"/>
      <c r="U68" s="355">
        <f t="shared" si="3"/>
        <v>1892085341</v>
      </c>
      <c r="V68" s="222"/>
      <c r="W68" s="206">
        <f>U68/درآمدها!$E$11</f>
        <v>3.4514563118175478E-3</v>
      </c>
      <c r="Y68" s="162"/>
    </row>
    <row r="69" spans="1:25" s="60" customFormat="1" ht="42.75" customHeight="1">
      <c r="A69" s="142"/>
      <c r="B69" s="142" t="s">
        <v>712</v>
      </c>
      <c r="C69" s="153" t="s">
        <v>539</v>
      </c>
      <c r="D69" s="226"/>
      <c r="E69" s="154">
        <v>0</v>
      </c>
      <c r="F69" s="154"/>
      <c r="G69" s="154">
        <f t="shared" si="10"/>
        <v>559306164</v>
      </c>
      <c r="H69" s="224"/>
      <c r="I69" s="154">
        <f t="shared" si="6"/>
        <v>-3525640</v>
      </c>
      <c r="J69" s="225"/>
      <c r="K69" s="155">
        <f t="shared" si="2"/>
        <v>555780524</v>
      </c>
      <c r="L69" s="155"/>
      <c r="M69" s="206">
        <f>K69/($K$203+'درآمد سرمایه گذاری در اوراق بها'!$I$11+'درآمد سپرده بانکی'!$E$11+'سایر درآمدها'!$C$11)</f>
        <v>1.4512741470256039E-3</v>
      </c>
      <c r="N69" s="226"/>
      <c r="O69" s="154">
        <v>0</v>
      </c>
      <c r="P69" s="154"/>
      <c r="Q69" s="154">
        <f t="shared" si="11"/>
        <v>559306164</v>
      </c>
      <c r="R69" s="224"/>
      <c r="S69" s="154">
        <f t="shared" si="7"/>
        <v>-3525640</v>
      </c>
      <c r="T69" s="224"/>
      <c r="U69" s="355">
        <f t="shared" si="3"/>
        <v>555780524</v>
      </c>
      <c r="V69" s="222"/>
      <c r="W69" s="206">
        <f>U69/درآمدها!$E$11</f>
        <v>1.0138296386415818E-3</v>
      </c>
      <c r="Y69" s="162"/>
    </row>
    <row r="70" spans="1:25" s="60" customFormat="1" ht="42.75" customHeight="1">
      <c r="A70" s="142"/>
      <c r="B70" s="142" t="s">
        <v>326</v>
      </c>
      <c r="C70" s="153" t="s">
        <v>185</v>
      </c>
      <c r="D70" s="226"/>
      <c r="E70" s="154">
        <v>0</v>
      </c>
      <c r="F70" s="154"/>
      <c r="G70" s="154">
        <f t="shared" si="10"/>
        <v>2268833850</v>
      </c>
      <c r="H70" s="224"/>
      <c r="I70" s="154">
        <f t="shared" si="6"/>
        <v>-3460224</v>
      </c>
      <c r="J70" s="225"/>
      <c r="K70" s="155">
        <f t="shared" si="2"/>
        <v>2265373626</v>
      </c>
      <c r="L70" s="155"/>
      <c r="M70" s="206">
        <f>K70/($K$203+'درآمد سرمایه گذاری در اوراق بها'!$I$11+'درآمد سپرده بانکی'!$E$11+'سایر درآمدها'!$C$11)</f>
        <v>5.9154253069282608E-3</v>
      </c>
      <c r="N70" s="226"/>
      <c r="O70" s="154">
        <v>0</v>
      </c>
      <c r="P70" s="154"/>
      <c r="Q70" s="154">
        <f t="shared" si="11"/>
        <v>2152372197</v>
      </c>
      <c r="R70" s="224"/>
      <c r="S70" s="154">
        <f t="shared" si="7"/>
        <v>-57269899</v>
      </c>
      <c r="T70" s="224"/>
      <c r="U70" s="355">
        <f t="shared" si="3"/>
        <v>2095102298</v>
      </c>
      <c r="V70" s="222"/>
      <c r="W70" s="206">
        <f>U70/درآمدها!$E$11</f>
        <v>3.8217906421249255E-3</v>
      </c>
      <c r="Y70" s="162"/>
    </row>
    <row r="71" spans="1:25" s="60" customFormat="1" ht="42.75" customHeight="1">
      <c r="A71" s="142"/>
      <c r="B71" s="142" t="s">
        <v>327</v>
      </c>
      <c r="C71" s="153" t="s">
        <v>128</v>
      </c>
      <c r="D71" s="226"/>
      <c r="E71" s="154">
        <v>0</v>
      </c>
      <c r="F71" s="154"/>
      <c r="G71" s="154">
        <f t="shared" si="10"/>
        <v>2167649306</v>
      </c>
      <c r="H71" s="224"/>
      <c r="I71" s="154">
        <f t="shared" si="6"/>
        <v>30510263</v>
      </c>
      <c r="J71" s="225"/>
      <c r="K71" s="155">
        <f t="shared" si="2"/>
        <v>2198159569</v>
      </c>
      <c r="L71" s="155"/>
      <c r="M71" s="206">
        <f>K71/($K$203+'درآمد سرمایه گذاری در اوراق بها'!$I$11+'درآمد سپرده بانکی'!$E$11+'سایر درآمدها'!$C$11)</f>
        <v>5.739913537392405E-3</v>
      </c>
      <c r="N71" s="226"/>
      <c r="O71" s="154">
        <v>0</v>
      </c>
      <c r="P71" s="154"/>
      <c r="Q71" s="154">
        <f t="shared" si="11"/>
        <v>4542962190</v>
      </c>
      <c r="R71" s="224"/>
      <c r="S71" s="154">
        <f t="shared" si="7"/>
        <v>121496205</v>
      </c>
      <c r="T71" s="224"/>
      <c r="U71" s="355">
        <f t="shared" si="3"/>
        <v>4664458395</v>
      </c>
      <c r="V71" s="222"/>
      <c r="W71" s="206">
        <f>U71/درآمدها!$E$11</f>
        <v>8.5086935667100533E-3</v>
      </c>
      <c r="Y71" s="162"/>
    </row>
    <row r="72" spans="1:25" s="60" customFormat="1" ht="42.75" customHeight="1">
      <c r="A72" s="142"/>
      <c r="B72" s="142" t="s">
        <v>328</v>
      </c>
      <c r="C72" s="153" t="s">
        <v>176</v>
      </c>
      <c r="D72" s="226"/>
      <c r="E72" s="154">
        <v>0</v>
      </c>
      <c r="F72" s="154"/>
      <c r="G72" s="154">
        <f t="shared" si="10"/>
        <v>2789649858</v>
      </c>
      <c r="H72" s="224"/>
      <c r="I72" s="154">
        <f t="shared" si="6"/>
        <v>6165829</v>
      </c>
      <c r="J72" s="225"/>
      <c r="K72" s="155">
        <f t="shared" si="2"/>
        <v>2795815687</v>
      </c>
      <c r="L72" s="155"/>
      <c r="M72" s="206">
        <f>K72/($K$203+'درآمد سرمایه گذاری در اوراق بها'!$I$11+'درآمد سپرده بانکی'!$E$11+'سایر درآمدها'!$C$11)</f>
        <v>7.3005347456035147E-3</v>
      </c>
      <c r="N72" s="226"/>
      <c r="O72" s="154">
        <v>0</v>
      </c>
      <c r="P72" s="154"/>
      <c r="Q72" s="154">
        <f t="shared" si="11"/>
        <v>3069256767</v>
      </c>
      <c r="R72" s="224"/>
      <c r="S72" s="154">
        <f t="shared" si="7"/>
        <v>-39976423</v>
      </c>
      <c r="T72" s="224"/>
      <c r="U72" s="355">
        <f t="shared" si="3"/>
        <v>3029280344</v>
      </c>
      <c r="V72" s="222"/>
      <c r="W72" s="206">
        <f>U72/درآمدها!$E$11</f>
        <v>5.5258758878379962E-3</v>
      </c>
      <c r="Y72" s="162"/>
    </row>
    <row r="73" spans="1:25" s="60" customFormat="1" ht="42.75" customHeight="1">
      <c r="A73" s="142"/>
      <c r="B73" s="142" t="s">
        <v>329</v>
      </c>
      <c r="C73" s="153" t="s">
        <v>179</v>
      </c>
      <c r="D73" s="226"/>
      <c r="E73" s="154">
        <v>0</v>
      </c>
      <c r="F73" s="154"/>
      <c r="G73" s="154">
        <f t="shared" si="10"/>
        <v>3401627173</v>
      </c>
      <c r="H73" s="224"/>
      <c r="I73" s="154">
        <f t="shared" si="6"/>
        <v>80774484</v>
      </c>
      <c r="J73" s="225"/>
      <c r="K73" s="155">
        <f t="shared" si="2"/>
        <v>3482401657</v>
      </c>
      <c r="L73" s="155"/>
      <c r="M73" s="206">
        <f>K73/($K$203+'درآمد سرمایه گذاری در اوراق بها'!$I$11+'درآمد سپرده بانکی'!$E$11+'سایر درآمدها'!$C$11)</f>
        <v>9.0933727903772764E-3</v>
      </c>
      <c r="N73" s="226"/>
      <c r="O73" s="154">
        <v>0</v>
      </c>
      <c r="P73" s="154"/>
      <c r="Q73" s="154">
        <f t="shared" si="11"/>
        <v>7638999852</v>
      </c>
      <c r="R73" s="224"/>
      <c r="S73" s="154">
        <f t="shared" si="7"/>
        <v>1621224567</v>
      </c>
      <c r="T73" s="224"/>
      <c r="U73" s="355">
        <f t="shared" si="3"/>
        <v>9260224419</v>
      </c>
      <c r="V73" s="222"/>
      <c r="W73" s="206">
        <f>U73/درآمدها!$E$11</f>
        <v>1.6892081624031004E-2</v>
      </c>
      <c r="Y73" s="162"/>
    </row>
    <row r="74" spans="1:25" s="60" customFormat="1" ht="42.75" customHeight="1">
      <c r="A74" s="142"/>
      <c r="B74" s="142" t="s">
        <v>330</v>
      </c>
      <c r="C74" s="153" t="s">
        <v>144</v>
      </c>
      <c r="D74" s="226"/>
      <c r="E74" s="154">
        <v>0</v>
      </c>
      <c r="F74" s="154"/>
      <c r="G74" s="154">
        <f t="shared" si="10"/>
        <v>892703309</v>
      </c>
      <c r="H74" s="224"/>
      <c r="I74" s="154">
        <f t="shared" si="6"/>
        <v>23299401</v>
      </c>
      <c r="J74" s="225"/>
      <c r="K74" s="155">
        <f t="shared" si="2"/>
        <v>916002710</v>
      </c>
      <c r="L74" s="155"/>
      <c r="M74" s="206">
        <f>K74/($K$203+'درآمد سرمایه گذاری در اوراق بها'!$I$11+'درآمد سپرده بانکی'!$E$11+'سایر درآمدها'!$C$11)</f>
        <v>2.3918993095706099E-3</v>
      </c>
      <c r="N74" s="226"/>
      <c r="O74" s="154">
        <v>0</v>
      </c>
      <c r="P74" s="154"/>
      <c r="Q74" s="154">
        <f t="shared" si="11"/>
        <v>2194379973</v>
      </c>
      <c r="R74" s="224"/>
      <c r="S74" s="154">
        <f t="shared" si="7"/>
        <v>899972209</v>
      </c>
      <c r="T74" s="224"/>
      <c r="U74" s="355">
        <f t="shared" si="3"/>
        <v>3094352182</v>
      </c>
      <c r="V74" s="222"/>
      <c r="W74" s="206">
        <f>U74/درآمدها!$E$11</f>
        <v>5.6445769850453596E-3</v>
      </c>
      <c r="Y74" s="162"/>
    </row>
    <row r="75" spans="1:25" s="60" customFormat="1" ht="42.75" customHeight="1">
      <c r="A75" s="142"/>
      <c r="B75" s="142" t="s">
        <v>331</v>
      </c>
      <c r="C75" s="153" t="s">
        <v>166</v>
      </c>
      <c r="D75" s="226"/>
      <c r="E75" s="154">
        <v>0</v>
      </c>
      <c r="F75" s="154"/>
      <c r="G75" s="154">
        <f t="shared" si="10"/>
        <v>883733199</v>
      </c>
      <c r="H75" s="224"/>
      <c r="I75" s="154">
        <f t="shared" ref="I75:I106" si="12">VLOOKUP(B75,b,10,0)</f>
        <v>8931122</v>
      </c>
      <c r="J75" s="225"/>
      <c r="K75" s="155">
        <f t="shared" si="2"/>
        <v>892664321</v>
      </c>
      <c r="L75" s="155"/>
      <c r="M75" s="206">
        <f>K75/($K$203+'درآمد سرمایه گذاری در اوراق بها'!$I$11+'درآمد سپرده بانکی'!$E$11+'سایر درآمدها'!$C$11)</f>
        <v>2.3309572665764465E-3</v>
      </c>
      <c r="N75" s="226"/>
      <c r="O75" s="154">
        <v>1020931280</v>
      </c>
      <c r="P75" s="154"/>
      <c r="Q75" s="154">
        <f t="shared" si="11"/>
        <v>1016314004</v>
      </c>
      <c r="R75" s="224"/>
      <c r="S75" s="154">
        <f t="shared" ref="S75:S106" si="13">VLOOKUP(B75,b,18,0)</f>
        <v>-2972955</v>
      </c>
      <c r="T75" s="224"/>
      <c r="U75" s="355">
        <f t="shared" si="3"/>
        <v>2034272329</v>
      </c>
      <c r="V75" s="222"/>
      <c r="W75" s="206">
        <f>U75/درآمدها!$E$11</f>
        <v>3.7108273700656681E-3</v>
      </c>
      <c r="Y75" s="162"/>
    </row>
    <row r="76" spans="1:25" s="60" customFormat="1" ht="42.75" customHeight="1">
      <c r="A76" s="142"/>
      <c r="B76" s="142" t="s">
        <v>504</v>
      </c>
      <c r="C76" s="153" t="s">
        <v>485</v>
      </c>
      <c r="D76" s="226"/>
      <c r="E76" s="154">
        <v>0</v>
      </c>
      <c r="F76" s="154"/>
      <c r="G76" s="154">
        <f t="shared" si="10"/>
        <v>2580798547</v>
      </c>
      <c r="H76" s="224"/>
      <c r="I76" s="154">
        <f t="shared" si="12"/>
        <v>11854750</v>
      </c>
      <c r="J76" s="225"/>
      <c r="K76" s="155">
        <f t="shared" ref="K76:K139" si="14">E76+G76+I76</f>
        <v>2592653297</v>
      </c>
      <c r="L76" s="155"/>
      <c r="M76" s="206">
        <f>K76/($K$203+'درآمد سرمایه گذاری در اوراق بها'!$I$11+'درآمد سپرده بانکی'!$E$11+'سایر درآمدها'!$C$11)</f>
        <v>6.7700297863204631E-3</v>
      </c>
      <c r="N76" s="226"/>
      <c r="O76" s="154">
        <v>0</v>
      </c>
      <c r="P76" s="154"/>
      <c r="Q76" s="154">
        <f t="shared" si="11"/>
        <v>3441215029</v>
      </c>
      <c r="R76" s="224"/>
      <c r="S76" s="154">
        <f t="shared" si="13"/>
        <v>107120232</v>
      </c>
      <c r="T76" s="224"/>
      <c r="U76" s="355">
        <f t="shared" ref="U76:U139" si="15">O76+Q76+S76</f>
        <v>3548335261</v>
      </c>
      <c r="V76" s="222"/>
      <c r="W76" s="206">
        <f>U76/درآمدها!$E$11</f>
        <v>6.472712338942652E-3</v>
      </c>
      <c r="Y76" s="162"/>
    </row>
    <row r="77" spans="1:25" s="60" customFormat="1" ht="42.75" customHeight="1">
      <c r="A77" s="142"/>
      <c r="B77" s="142" t="s">
        <v>332</v>
      </c>
      <c r="C77" s="153" t="s">
        <v>135</v>
      </c>
      <c r="D77" s="226"/>
      <c r="E77" s="154">
        <v>0</v>
      </c>
      <c r="F77" s="154"/>
      <c r="G77" s="154">
        <f t="shared" si="10"/>
        <v>2307876710</v>
      </c>
      <c r="H77" s="224"/>
      <c r="I77" s="154">
        <f t="shared" si="12"/>
        <v>25786440</v>
      </c>
      <c r="J77" s="225"/>
      <c r="K77" s="155">
        <f t="shared" si="14"/>
        <v>2333663150</v>
      </c>
      <c r="L77" s="155"/>
      <c r="M77" s="206">
        <f>K77/($K$203+'درآمد سرمایه گذاری در اوراق بها'!$I$11+'درآمد سپرده بانکی'!$E$11+'سایر درآمدها'!$C$11)</f>
        <v>6.0937453746783945E-3</v>
      </c>
      <c r="N77" s="226"/>
      <c r="O77" s="154">
        <v>10073805</v>
      </c>
      <c r="P77" s="154"/>
      <c r="Q77" s="154">
        <f t="shared" si="11"/>
        <v>3449932424</v>
      </c>
      <c r="R77" s="224"/>
      <c r="S77" s="154">
        <f t="shared" si="13"/>
        <v>54340025</v>
      </c>
      <c r="T77" s="224"/>
      <c r="U77" s="355">
        <f t="shared" si="15"/>
        <v>3514346254</v>
      </c>
      <c r="V77" s="222"/>
      <c r="W77" s="206">
        <f>U77/درآمدها!$E$11</f>
        <v>6.4107111330770862E-3</v>
      </c>
      <c r="Y77" s="162"/>
    </row>
    <row r="78" spans="1:25" s="60" customFormat="1" ht="42.75" customHeight="1">
      <c r="A78" s="142"/>
      <c r="B78" s="142" t="s">
        <v>333</v>
      </c>
      <c r="C78" s="153" t="s">
        <v>271</v>
      </c>
      <c r="D78" s="226"/>
      <c r="E78" s="154">
        <v>0</v>
      </c>
      <c r="F78" s="154"/>
      <c r="G78" s="154">
        <f t="shared" si="10"/>
        <v>779478394</v>
      </c>
      <c r="H78" s="224"/>
      <c r="I78" s="154">
        <f t="shared" si="12"/>
        <v>4242534</v>
      </c>
      <c r="J78" s="225"/>
      <c r="K78" s="155">
        <f t="shared" si="14"/>
        <v>783720928</v>
      </c>
      <c r="L78" s="155"/>
      <c r="M78" s="206">
        <f>K78/($K$203+'درآمد سرمایه گذاری در اوراق بها'!$I$11+'درآمد سپرده بانکی'!$E$11+'سایر درآمدها'!$C$11)</f>
        <v>2.046480350019093E-3</v>
      </c>
      <c r="N78" s="226"/>
      <c r="O78" s="154">
        <v>0</v>
      </c>
      <c r="P78" s="154"/>
      <c r="Q78" s="154">
        <f t="shared" si="11"/>
        <v>398866363</v>
      </c>
      <c r="R78" s="224"/>
      <c r="S78" s="154">
        <f t="shared" si="13"/>
        <v>-96193103</v>
      </c>
      <c r="T78" s="224"/>
      <c r="U78" s="355">
        <f t="shared" si="15"/>
        <v>302673260</v>
      </c>
      <c r="V78" s="222"/>
      <c r="W78" s="206">
        <f>U78/درآمدها!$E$11</f>
        <v>5.521228408721093E-4</v>
      </c>
      <c r="Y78" s="162"/>
    </row>
    <row r="79" spans="1:25" s="60" customFormat="1" ht="42.75" customHeight="1">
      <c r="A79" s="142"/>
      <c r="B79" s="142" t="s">
        <v>334</v>
      </c>
      <c r="C79" s="153" t="s">
        <v>267</v>
      </c>
      <c r="D79" s="226"/>
      <c r="E79" s="154">
        <v>0</v>
      </c>
      <c r="F79" s="154"/>
      <c r="G79" s="154">
        <f t="shared" si="10"/>
        <v>1226866941</v>
      </c>
      <c r="H79" s="224"/>
      <c r="I79" s="154">
        <f t="shared" si="12"/>
        <v>-4471065</v>
      </c>
      <c r="J79" s="225"/>
      <c r="K79" s="155">
        <f t="shared" si="14"/>
        <v>1222395876</v>
      </c>
      <c r="L79" s="155"/>
      <c r="M79" s="206">
        <f>K79/($K$203+'درآمد سرمایه گذاری در اوراق بها'!$I$11+'درآمد سپرده بانکی'!$E$11+'سایر درآمدها'!$C$11)</f>
        <v>3.1919641938901694E-3</v>
      </c>
      <c r="N79" s="226"/>
      <c r="O79" s="154">
        <v>89102100</v>
      </c>
      <c r="P79" s="154"/>
      <c r="Q79" s="154">
        <f t="shared" si="11"/>
        <v>866285688</v>
      </c>
      <c r="R79" s="224"/>
      <c r="S79" s="154">
        <f t="shared" si="13"/>
        <v>-101950842</v>
      </c>
      <c r="T79" s="224"/>
      <c r="U79" s="355">
        <f t="shared" si="15"/>
        <v>853436946</v>
      </c>
      <c r="V79" s="222"/>
      <c r="W79" s="206">
        <f>U79/درآمدها!$E$11</f>
        <v>1.5568009910447225E-3</v>
      </c>
      <c r="Y79" s="162"/>
    </row>
    <row r="80" spans="1:25" s="60" customFormat="1" ht="42.75" customHeight="1">
      <c r="A80" s="142"/>
      <c r="B80" s="142" t="s">
        <v>450</v>
      </c>
      <c r="C80" s="153" t="s">
        <v>440</v>
      </c>
      <c r="D80" s="226"/>
      <c r="E80" s="154">
        <v>0</v>
      </c>
      <c r="F80" s="154"/>
      <c r="G80" s="154">
        <f t="shared" si="10"/>
        <v>4355556356</v>
      </c>
      <c r="H80" s="224"/>
      <c r="I80" s="154">
        <f t="shared" si="12"/>
        <v>40337248</v>
      </c>
      <c r="J80" s="225"/>
      <c r="K80" s="155">
        <f t="shared" si="14"/>
        <v>4395893604</v>
      </c>
      <c r="L80" s="155"/>
      <c r="M80" s="206">
        <f>K80/($K$203+'درآمد سرمایه گذاری در اوراق بها'!$I$11+'درآمد سپرده بانکی'!$E$11+'سایر درآمدها'!$C$11)</f>
        <v>1.1478715905058249E-2</v>
      </c>
      <c r="N80" s="226"/>
      <c r="O80" s="154">
        <v>0</v>
      </c>
      <c r="P80" s="154"/>
      <c r="Q80" s="154">
        <f t="shared" si="11"/>
        <v>5857936418</v>
      </c>
      <c r="R80" s="224"/>
      <c r="S80" s="154">
        <f t="shared" si="13"/>
        <v>162754251</v>
      </c>
      <c r="T80" s="224"/>
      <c r="U80" s="355">
        <f t="shared" si="15"/>
        <v>6020690669</v>
      </c>
      <c r="V80" s="222"/>
      <c r="W80" s="206">
        <f>U80/درآمدها!$E$11</f>
        <v>1.0982671003644261E-2</v>
      </c>
      <c r="Y80" s="162"/>
    </row>
    <row r="81" spans="1:25" s="60" customFormat="1" ht="42.75" customHeight="1">
      <c r="A81" s="142"/>
      <c r="B81" s="142" t="s">
        <v>335</v>
      </c>
      <c r="C81" s="153" t="s">
        <v>180</v>
      </c>
      <c r="D81" s="226"/>
      <c r="E81" s="154">
        <v>0</v>
      </c>
      <c r="F81" s="154"/>
      <c r="G81" s="154">
        <f t="shared" si="10"/>
        <v>484069730</v>
      </c>
      <c r="H81" s="224"/>
      <c r="I81" s="154">
        <f t="shared" si="12"/>
        <v>52854146</v>
      </c>
      <c r="J81" s="225"/>
      <c r="K81" s="155">
        <f t="shared" si="14"/>
        <v>536923876</v>
      </c>
      <c r="L81" s="155"/>
      <c r="M81" s="206">
        <f>K81/($K$203+'درآمد سرمایه گذاری در اوراق بها'!$I$11+'درآمد سپرده بانکی'!$E$11+'سایر درآمدها'!$C$11)</f>
        <v>1.4020349877527935E-3</v>
      </c>
      <c r="N81" s="226"/>
      <c r="O81" s="154">
        <v>59854950</v>
      </c>
      <c r="P81" s="154"/>
      <c r="Q81" s="154">
        <f t="shared" si="11"/>
        <v>3200881945</v>
      </c>
      <c r="R81" s="224"/>
      <c r="S81" s="154">
        <f t="shared" si="13"/>
        <v>677091728</v>
      </c>
      <c r="T81" s="224"/>
      <c r="U81" s="355">
        <f t="shared" si="15"/>
        <v>3937828623</v>
      </c>
      <c r="V81" s="222"/>
      <c r="W81" s="206">
        <f>U81/درآمدها!$E$11</f>
        <v>7.1832084743735413E-3</v>
      </c>
      <c r="Y81" s="162"/>
    </row>
    <row r="82" spans="1:25" s="60" customFormat="1" ht="42.75" customHeight="1">
      <c r="A82" s="142"/>
      <c r="B82" s="142" t="s">
        <v>505</v>
      </c>
      <c r="C82" s="153" t="s">
        <v>486</v>
      </c>
      <c r="D82" s="226"/>
      <c r="E82" s="154">
        <v>0</v>
      </c>
      <c r="F82" s="154"/>
      <c r="G82" s="154">
        <f t="shared" si="10"/>
        <v>717160419</v>
      </c>
      <c r="H82" s="224"/>
      <c r="I82" s="154">
        <f t="shared" si="12"/>
        <v>8408074</v>
      </c>
      <c r="J82" s="225"/>
      <c r="K82" s="155">
        <f t="shared" si="14"/>
        <v>725568493</v>
      </c>
      <c r="L82" s="155"/>
      <c r="M82" s="206">
        <f>K82/($K$203+'درآمد سرمایه گذاری در اوراق بها'!$I$11+'درآمد سپرده بانکی'!$E$11+'سایر درآمدها'!$C$11)</f>
        <v>1.8946306146331029E-3</v>
      </c>
      <c r="N82" s="226"/>
      <c r="O82" s="154">
        <v>0</v>
      </c>
      <c r="P82" s="154"/>
      <c r="Q82" s="154">
        <f t="shared" si="11"/>
        <v>1427617049</v>
      </c>
      <c r="R82" s="224"/>
      <c r="S82" s="154">
        <f t="shared" si="13"/>
        <v>99770587</v>
      </c>
      <c r="T82" s="224"/>
      <c r="U82" s="355">
        <f t="shared" si="15"/>
        <v>1527387636</v>
      </c>
      <c r="V82" s="222"/>
      <c r="W82" s="206">
        <f>U82/درآمدها!$E$11</f>
        <v>2.7861912899119507E-3</v>
      </c>
      <c r="Y82" s="162"/>
    </row>
    <row r="83" spans="1:25" s="60" customFormat="1" ht="42.75" customHeight="1">
      <c r="A83" s="142"/>
      <c r="B83" s="142" t="s">
        <v>713</v>
      </c>
      <c r="C83" s="153" t="s">
        <v>516</v>
      </c>
      <c r="D83" s="226"/>
      <c r="E83" s="154">
        <v>0</v>
      </c>
      <c r="F83" s="154"/>
      <c r="G83" s="154">
        <f t="shared" si="10"/>
        <v>285167932</v>
      </c>
      <c r="H83" s="224"/>
      <c r="I83" s="154">
        <f t="shared" si="12"/>
        <v>-244742</v>
      </c>
      <c r="J83" s="225"/>
      <c r="K83" s="155">
        <f t="shared" si="14"/>
        <v>284923190</v>
      </c>
      <c r="L83" s="155"/>
      <c r="M83" s="206">
        <f>K83/($K$203+'درآمد سرمایه گذاری در اوراق بها'!$I$11+'درآمد سپرده بانکی'!$E$11+'سایر درآمدها'!$C$11)</f>
        <v>7.4400170873037668E-4</v>
      </c>
      <c r="N83" s="226"/>
      <c r="O83" s="154">
        <v>0</v>
      </c>
      <c r="P83" s="154"/>
      <c r="Q83" s="154">
        <f t="shared" si="11"/>
        <v>289442609</v>
      </c>
      <c r="R83" s="224"/>
      <c r="S83" s="154">
        <f t="shared" si="13"/>
        <v>-179415</v>
      </c>
      <c r="T83" s="224"/>
      <c r="U83" s="355">
        <f t="shared" si="15"/>
        <v>289263194</v>
      </c>
      <c r="V83" s="222"/>
      <c r="W83" s="206">
        <f>U83/درآمدها!$E$11</f>
        <v>5.2766080634615716E-4</v>
      </c>
      <c r="Y83" s="162"/>
    </row>
    <row r="84" spans="1:25" s="60" customFormat="1" ht="42.75" customHeight="1">
      <c r="A84" s="142"/>
      <c r="B84" s="142" t="s">
        <v>336</v>
      </c>
      <c r="C84" s="153" t="s">
        <v>117</v>
      </c>
      <c r="D84" s="226"/>
      <c r="E84" s="154">
        <v>0</v>
      </c>
      <c r="F84" s="154"/>
      <c r="G84" s="154">
        <f t="shared" si="10"/>
        <v>1436480634</v>
      </c>
      <c r="H84" s="224"/>
      <c r="I84" s="154">
        <f t="shared" si="12"/>
        <v>7759978</v>
      </c>
      <c r="J84" s="225"/>
      <c r="K84" s="155">
        <f t="shared" si="14"/>
        <v>1444240612</v>
      </c>
      <c r="L84" s="155"/>
      <c r="M84" s="206">
        <f>K84/($K$203+'درآمد سرمایه گذاری در اوراق بها'!$I$11+'درآمد سپرده بانکی'!$E$11+'سایر درآمدها'!$C$11)</f>
        <v>3.7712531687778906E-3</v>
      </c>
      <c r="N84" s="226"/>
      <c r="O84" s="154">
        <v>0</v>
      </c>
      <c r="P84" s="154"/>
      <c r="Q84" s="154">
        <f t="shared" si="11"/>
        <v>2012418117</v>
      </c>
      <c r="R84" s="224"/>
      <c r="S84" s="154">
        <f t="shared" si="13"/>
        <v>46707942</v>
      </c>
      <c r="T84" s="224"/>
      <c r="U84" s="355">
        <f t="shared" si="15"/>
        <v>2059126059</v>
      </c>
      <c r="V84" s="222"/>
      <c r="W84" s="206">
        <f>U84/درآمدها!$E$11</f>
        <v>3.756164417725142E-3</v>
      </c>
      <c r="Y84" s="162"/>
    </row>
    <row r="85" spans="1:25" s="60" customFormat="1" ht="42.75" customHeight="1">
      <c r="A85" s="142"/>
      <c r="B85" s="142" t="s">
        <v>337</v>
      </c>
      <c r="C85" s="153" t="s">
        <v>90</v>
      </c>
      <c r="D85" s="226"/>
      <c r="E85" s="154">
        <v>0</v>
      </c>
      <c r="F85" s="154"/>
      <c r="G85" s="154">
        <f t="shared" si="10"/>
        <v>7580773901</v>
      </c>
      <c r="H85" s="224"/>
      <c r="I85" s="154">
        <f t="shared" si="12"/>
        <v>49628287</v>
      </c>
      <c r="J85" s="225"/>
      <c r="K85" s="155">
        <f t="shared" si="14"/>
        <v>7630402188</v>
      </c>
      <c r="L85" s="155"/>
      <c r="M85" s="206">
        <f>K85/($K$203+'درآمد سرمایه گذاری در اوراق بها'!$I$11+'درآمد سپرده بانکی'!$E$11+'سایر درآمدها'!$C$11)</f>
        <v>1.9924781363608923E-2</v>
      </c>
      <c r="N85" s="226"/>
      <c r="O85" s="154">
        <v>414758200</v>
      </c>
      <c r="P85" s="154"/>
      <c r="Q85" s="154">
        <f t="shared" si="11"/>
        <v>10071281389</v>
      </c>
      <c r="R85" s="224"/>
      <c r="S85" s="154">
        <f t="shared" si="13"/>
        <v>525602300</v>
      </c>
      <c r="T85" s="224"/>
      <c r="U85" s="355">
        <f t="shared" si="15"/>
        <v>11011641889</v>
      </c>
      <c r="V85" s="222"/>
      <c r="W85" s="206">
        <f>U85/درآمدها!$E$11</f>
        <v>2.0086937981971056E-2</v>
      </c>
      <c r="Y85" s="162"/>
    </row>
    <row r="86" spans="1:25" s="60" customFormat="1" ht="42.75" customHeight="1">
      <c r="A86" s="142"/>
      <c r="B86" s="142" t="s">
        <v>338</v>
      </c>
      <c r="C86" s="153" t="s">
        <v>214</v>
      </c>
      <c r="D86" s="226"/>
      <c r="E86" s="154">
        <v>0</v>
      </c>
      <c r="F86" s="154"/>
      <c r="G86" s="154">
        <f t="shared" si="10"/>
        <v>3114602919</v>
      </c>
      <c r="H86" s="224"/>
      <c r="I86" s="154">
        <f t="shared" si="12"/>
        <v>-18962909</v>
      </c>
      <c r="J86" s="225"/>
      <c r="K86" s="155">
        <f t="shared" si="14"/>
        <v>3095640010</v>
      </c>
      <c r="L86" s="155"/>
      <c r="M86" s="206">
        <f>K86/($K$203+'درآمد سرمایه گذاری در اوراق بها'!$I$11+'درآمد سپرده بانکی'!$E$11+'سایر درآمدها'!$C$11)</f>
        <v>8.0834468301935001E-3</v>
      </c>
      <c r="N86" s="226"/>
      <c r="O86" s="154">
        <v>0</v>
      </c>
      <c r="P86" s="154"/>
      <c r="Q86" s="154">
        <f t="shared" si="11"/>
        <v>1411012469</v>
      </c>
      <c r="R86" s="224"/>
      <c r="S86" s="154">
        <f t="shared" si="13"/>
        <v>-364043003</v>
      </c>
      <c r="T86" s="224"/>
      <c r="U86" s="355">
        <f t="shared" si="15"/>
        <v>1046969466</v>
      </c>
      <c r="V86" s="222"/>
      <c r="W86" s="206">
        <f>U86/درآمدها!$E$11</f>
        <v>1.9098342413012477E-3</v>
      </c>
      <c r="Y86" s="162"/>
    </row>
    <row r="87" spans="1:25" s="60" customFormat="1" ht="52.5" customHeight="1">
      <c r="A87" s="142"/>
      <c r="B87" s="142" t="s">
        <v>339</v>
      </c>
      <c r="C87" s="153" t="s">
        <v>143</v>
      </c>
      <c r="D87" s="226"/>
      <c r="E87" s="154">
        <v>0</v>
      </c>
      <c r="F87" s="154"/>
      <c r="G87" s="154">
        <f t="shared" si="10"/>
        <v>1631889436</v>
      </c>
      <c r="H87" s="224"/>
      <c r="I87" s="154">
        <f t="shared" si="12"/>
        <v>34292315</v>
      </c>
      <c r="J87" s="225"/>
      <c r="K87" s="155">
        <f t="shared" si="14"/>
        <v>1666181751</v>
      </c>
      <c r="L87" s="155"/>
      <c r="M87" s="206">
        <f>K87/($K$203+'درآمد سرمایه گذاری در اوراق بها'!$I$11+'درآمد سپرده بانکی'!$E$11+'سایر درآمدها'!$C$11)</f>
        <v>4.350793874655731E-3</v>
      </c>
      <c r="N87" s="226"/>
      <c r="O87" s="154">
        <v>48535065</v>
      </c>
      <c r="P87" s="154"/>
      <c r="Q87" s="154">
        <f t="shared" si="11"/>
        <v>3884892765</v>
      </c>
      <c r="R87" s="224"/>
      <c r="S87" s="154">
        <f t="shared" si="13"/>
        <v>457216228</v>
      </c>
      <c r="T87" s="224"/>
      <c r="U87" s="355">
        <f t="shared" si="15"/>
        <v>4390644058</v>
      </c>
      <c r="V87" s="222"/>
      <c r="W87" s="206">
        <f>U87/درآمدها!$E$11</f>
        <v>8.0092138650147242E-3</v>
      </c>
      <c r="Y87" s="162"/>
    </row>
    <row r="88" spans="1:25" s="60" customFormat="1" ht="42.75" customHeight="1">
      <c r="A88" s="142"/>
      <c r="B88" s="142" t="s">
        <v>340</v>
      </c>
      <c r="C88" s="164" t="s">
        <v>227</v>
      </c>
      <c r="D88" s="11"/>
      <c r="E88" s="154">
        <v>0</v>
      </c>
      <c r="F88" s="9"/>
      <c r="G88" s="154">
        <f t="shared" si="10"/>
        <v>381023688</v>
      </c>
      <c r="H88" s="224"/>
      <c r="I88" s="154">
        <f t="shared" si="12"/>
        <v>5677932</v>
      </c>
      <c r="J88" s="9"/>
      <c r="K88" s="155">
        <f t="shared" si="14"/>
        <v>386701620</v>
      </c>
      <c r="L88" s="10"/>
      <c r="M88" s="206">
        <f>K88/($K$203+'درآمد سرمایه گذاری در اوراق بها'!$I$11+'درآمد سپرده بانکی'!$E$11+'سایر درآمدها'!$C$11)</f>
        <v>1.0097692155166618E-3</v>
      </c>
      <c r="N88" s="11"/>
      <c r="O88" s="144">
        <v>0</v>
      </c>
      <c r="P88" s="9"/>
      <c r="Q88" s="154">
        <f t="shared" si="11"/>
        <v>793345534</v>
      </c>
      <c r="R88" s="9"/>
      <c r="S88" s="154">
        <f t="shared" si="13"/>
        <v>39332134</v>
      </c>
      <c r="T88" s="6"/>
      <c r="U88" s="355">
        <f t="shared" si="15"/>
        <v>832677668</v>
      </c>
      <c r="V88" s="10"/>
      <c r="W88" s="206">
        <f>U88/درآمدها!$E$11</f>
        <v>1.5189328571242899E-3</v>
      </c>
      <c r="Y88" s="162"/>
    </row>
    <row r="89" spans="1:25" s="60" customFormat="1" ht="42.75" customHeight="1">
      <c r="A89" s="142"/>
      <c r="B89" s="142" t="s">
        <v>341</v>
      </c>
      <c r="C89" s="153" t="s">
        <v>207</v>
      </c>
      <c r="D89" s="226"/>
      <c r="E89" s="154">
        <v>0</v>
      </c>
      <c r="F89" s="154"/>
      <c r="G89" s="154">
        <f t="shared" si="10"/>
        <v>3454983213</v>
      </c>
      <c r="H89" s="224"/>
      <c r="I89" s="154">
        <f t="shared" si="12"/>
        <v>0</v>
      </c>
      <c r="J89" s="225"/>
      <c r="K89" s="155">
        <f t="shared" si="14"/>
        <v>3454983213</v>
      </c>
      <c r="L89" s="155"/>
      <c r="M89" s="206">
        <f>K89/($K$203+'درآمد سرمایه گذاری در اوراق بها'!$I$11+'درآمد سپرده بانکی'!$E$11+'سایر درآمدها'!$C$11)</f>
        <v>9.0217767606307047E-3</v>
      </c>
      <c r="N89" s="226"/>
      <c r="O89" s="154">
        <v>323029802</v>
      </c>
      <c r="P89" s="154"/>
      <c r="Q89" s="154">
        <f t="shared" si="11"/>
        <v>3196090858</v>
      </c>
      <c r="R89" s="224"/>
      <c r="S89" s="154">
        <f t="shared" si="13"/>
        <v>-356089103</v>
      </c>
      <c r="T89" s="224"/>
      <c r="U89" s="355">
        <f t="shared" si="15"/>
        <v>3163031557</v>
      </c>
      <c r="V89" s="222"/>
      <c r="W89" s="206">
        <f>U89/درآمدها!$E$11</f>
        <v>5.7698587877203656E-3</v>
      </c>
      <c r="Y89" s="162"/>
    </row>
    <row r="90" spans="1:25" s="60" customFormat="1" ht="42.75" customHeight="1">
      <c r="A90" s="142"/>
      <c r="B90" s="142" t="s">
        <v>342</v>
      </c>
      <c r="C90" s="153" t="s">
        <v>184</v>
      </c>
      <c r="D90" s="226"/>
      <c r="E90" s="154">
        <v>0</v>
      </c>
      <c r="F90" s="154"/>
      <c r="G90" s="154">
        <f t="shared" si="10"/>
        <v>2393823292</v>
      </c>
      <c r="H90" s="224"/>
      <c r="I90" s="154">
        <f t="shared" si="12"/>
        <v>-12913910</v>
      </c>
      <c r="J90" s="225"/>
      <c r="K90" s="155">
        <f t="shared" si="14"/>
        <v>2380909382</v>
      </c>
      <c r="L90" s="155"/>
      <c r="M90" s="206">
        <f>K90/($K$203+'درآمد سرمایه گذاری در اوراق بها'!$I$11+'درآمد سپرده بانکی'!$E$11+'سایر درآمدها'!$C$11)</f>
        <v>6.2171164394873761E-3</v>
      </c>
      <c r="N90" s="226"/>
      <c r="O90" s="154">
        <v>920346050</v>
      </c>
      <c r="P90" s="154"/>
      <c r="Q90" s="154">
        <f t="shared" si="11"/>
        <v>1534861558</v>
      </c>
      <c r="R90" s="224"/>
      <c r="S90" s="154">
        <f t="shared" si="13"/>
        <v>-398279354</v>
      </c>
      <c r="T90" s="224"/>
      <c r="U90" s="355">
        <f t="shared" si="15"/>
        <v>2056928254</v>
      </c>
      <c r="V90" s="222"/>
      <c r="W90" s="206">
        <f>U90/درآمدها!$E$11</f>
        <v>3.7521552814694884E-3</v>
      </c>
      <c r="Y90" s="162"/>
    </row>
    <row r="91" spans="1:25" s="60" customFormat="1" ht="42.75" customHeight="1">
      <c r="A91" s="142"/>
      <c r="B91" s="142" t="s">
        <v>343</v>
      </c>
      <c r="C91" s="164" t="s">
        <v>205</v>
      </c>
      <c r="D91" s="11"/>
      <c r="E91" s="154">
        <v>0</v>
      </c>
      <c r="F91" s="9"/>
      <c r="G91" s="154">
        <f t="shared" si="10"/>
        <v>1678959550</v>
      </c>
      <c r="H91" s="224"/>
      <c r="I91" s="154">
        <f t="shared" si="12"/>
        <v>13203026</v>
      </c>
      <c r="J91" s="9"/>
      <c r="K91" s="155">
        <f t="shared" si="14"/>
        <v>1692162576</v>
      </c>
      <c r="L91" s="165"/>
      <c r="M91" s="206">
        <f>K91/($K$203+'درآمد سرمایه گذاری در اوراق بها'!$I$11+'درآمد سپرده بانکی'!$E$11+'سایر درآمدها'!$C$11)</f>
        <v>4.4186359418255704E-3</v>
      </c>
      <c r="N91" s="11"/>
      <c r="O91" s="163">
        <v>0</v>
      </c>
      <c r="P91" s="9"/>
      <c r="Q91" s="154">
        <f t="shared" si="11"/>
        <v>2830845890</v>
      </c>
      <c r="R91" s="9"/>
      <c r="S91" s="154">
        <f t="shared" si="13"/>
        <v>35483949</v>
      </c>
      <c r="T91" s="6"/>
      <c r="U91" s="355">
        <f t="shared" si="15"/>
        <v>2866329839</v>
      </c>
      <c r="V91" s="165"/>
      <c r="W91" s="206">
        <f>U91/درآمدها!$E$11</f>
        <v>5.2286289630777945E-3</v>
      </c>
      <c r="Y91" s="162"/>
    </row>
    <row r="92" spans="1:25" s="60" customFormat="1" ht="42.75" customHeight="1">
      <c r="A92" s="142"/>
      <c r="B92" s="142" t="s">
        <v>344</v>
      </c>
      <c r="C92" s="153" t="s">
        <v>158</v>
      </c>
      <c r="D92" s="226"/>
      <c r="E92" s="154">
        <v>0</v>
      </c>
      <c r="F92" s="154"/>
      <c r="G92" s="154">
        <f t="shared" si="10"/>
        <v>8287898945</v>
      </c>
      <c r="H92" s="224"/>
      <c r="I92" s="154">
        <f t="shared" si="12"/>
        <v>12103700</v>
      </c>
      <c r="J92" s="225"/>
      <c r="K92" s="155">
        <f t="shared" si="14"/>
        <v>8300002645</v>
      </c>
      <c r="L92" s="155"/>
      <c r="M92" s="206">
        <f>K92/($K$203+'درآمد سرمایه گذاری در اوراق بها'!$I$11+'درآمد سپرده بانکی'!$E$11+'سایر درآمدها'!$C$11)</f>
        <v>2.1673266224299419E-2</v>
      </c>
      <c r="N92" s="226"/>
      <c r="O92" s="154">
        <v>3098744000</v>
      </c>
      <c r="P92" s="154"/>
      <c r="Q92" s="154">
        <f t="shared" si="11"/>
        <v>7984358863</v>
      </c>
      <c r="R92" s="224"/>
      <c r="S92" s="154">
        <f t="shared" si="13"/>
        <v>-216394751</v>
      </c>
      <c r="T92" s="224"/>
      <c r="U92" s="355">
        <f t="shared" si="15"/>
        <v>10866708112</v>
      </c>
      <c r="V92" s="222"/>
      <c r="W92" s="206">
        <f>U92/درآمدها!$E$11</f>
        <v>1.9822556355739637E-2</v>
      </c>
      <c r="Y92" s="162"/>
    </row>
    <row r="93" spans="1:25" s="60" customFormat="1" ht="42.75" customHeight="1">
      <c r="A93" s="142"/>
      <c r="B93" s="142" t="s">
        <v>345</v>
      </c>
      <c r="C93" s="153" t="s">
        <v>160</v>
      </c>
      <c r="D93" s="226"/>
      <c r="E93" s="154">
        <v>0</v>
      </c>
      <c r="F93" s="154"/>
      <c r="G93" s="154">
        <f t="shared" si="10"/>
        <v>851475424</v>
      </c>
      <c r="H93" s="224"/>
      <c r="I93" s="154">
        <f t="shared" si="12"/>
        <v>12645267</v>
      </c>
      <c r="J93" s="225"/>
      <c r="K93" s="155">
        <f t="shared" si="14"/>
        <v>864120691</v>
      </c>
      <c r="L93" s="155"/>
      <c r="M93" s="206">
        <f>K93/($K$203+'درآمد سرمایه گذاری در اوراق بها'!$I$11+'درآمد سپرده بانکی'!$E$11+'سایر درآمدها'!$C$11)</f>
        <v>2.2564231105698129E-3</v>
      </c>
      <c r="N93" s="226"/>
      <c r="O93" s="154">
        <v>658753000</v>
      </c>
      <c r="P93" s="154"/>
      <c r="Q93" s="154">
        <f t="shared" si="11"/>
        <v>2503978862</v>
      </c>
      <c r="R93" s="224"/>
      <c r="S93" s="154">
        <f t="shared" si="13"/>
        <v>407135508</v>
      </c>
      <c r="T93" s="224"/>
      <c r="U93" s="355">
        <f t="shared" si="15"/>
        <v>3569867370</v>
      </c>
      <c r="V93" s="222"/>
      <c r="W93" s="206">
        <f>U93/درآمدها!$E$11</f>
        <v>6.5119902361412615E-3</v>
      </c>
      <c r="Y93" s="162"/>
    </row>
    <row r="94" spans="1:25" s="60" customFormat="1" ht="42.75" customHeight="1">
      <c r="A94" s="142"/>
      <c r="B94" s="142" t="s">
        <v>346</v>
      </c>
      <c r="C94" s="153" t="s">
        <v>123</v>
      </c>
      <c r="D94" s="226"/>
      <c r="E94" s="154">
        <v>0</v>
      </c>
      <c r="F94" s="154"/>
      <c r="G94" s="154">
        <f t="shared" si="10"/>
        <v>6800012463</v>
      </c>
      <c r="H94" s="224"/>
      <c r="I94" s="154">
        <f t="shared" si="12"/>
        <v>-10819459</v>
      </c>
      <c r="J94" s="225"/>
      <c r="K94" s="155">
        <f t="shared" si="14"/>
        <v>6789193004</v>
      </c>
      <c r="L94" s="155"/>
      <c r="M94" s="206">
        <f>K94/($K$203+'درآمد سرمایه گذاری در اوراق بها'!$I$11+'درآمد سپرده بانکی'!$E$11+'سایر درآمدها'!$C$11)</f>
        <v>1.7728185606360504E-2</v>
      </c>
      <c r="N94" s="226"/>
      <c r="O94" s="154">
        <v>50327850</v>
      </c>
      <c r="P94" s="154"/>
      <c r="Q94" s="154">
        <f t="shared" si="11"/>
        <v>5563240161</v>
      </c>
      <c r="R94" s="224"/>
      <c r="S94" s="154">
        <f t="shared" si="13"/>
        <v>-555840030</v>
      </c>
      <c r="T94" s="224"/>
      <c r="U94" s="355">
        <f t="shared" si="15"/>
        <v>5057727981</v>
      </c>
      <c r="V94" s="222"/>
      <c r="W94" s="206">
        <f>U94/درآمدها!$E$11</f>
        <v>9.2260781187874924E-3</v>
      </c>
      <c r="Y94" s="162"/>
    </row>
    <row r="95" spans="1:25" s="60" customFormat="1" ht="42.75" customHeight="1">
      <c r="A95" s="142"/>
      <c r="B95" s="142" t="s">
        <v>347</v>
      </c>
      <c r="C95" s="153" t="s">
        <v>197</v>
      </c>
      <c r="D95" s="226"/>
      <c r="E95" s="154">
        <v>0</v>
      </c>
      <c r="F95" s="154"/>
      <c r="G95" s="154">
        <f t="shared" si="10"/>
        <v>450799513</v>
      </c>
      <c r="H95" s="224"/>
      <c r="I95" s="154">
        <f t="shared" si="12"/>
        <v>6586595</v>
      </c>
      <c r="J95" s="225"/>
      <c r="K95" s="155">
        <f t="shared" si="14"/>
        <v>457386108</v>
      </c>
      <c r="L95" s="155"/>
      <c r="M95" s="206">
        <f>K95/($K$203+'درآمد سرمایه گذاری در اوراق بها'!$I$11+'درآمد سپرده بانکی'!$E$11+'سایر درآمدها'!$C$11)</f>
        <v>1.1943430996316467E-3</v>
      </c>
      <c r="N95" s="226"/>
      <c r="O95" s="154">
        <v>0</v>
      </c>
      <c r="P95" s="154"/>
      <c r="Q95" s="154">
        <f t="shared" si="11"/>
        <v>869085769</v>
      </c>
      <c r="R95" s="224"/>
      <c r="S95" s="154">
        <f t="shared" si="13"/>
        <v>-48371696</v>
      </c>
      <c r="T95" s="224"/>
      <c r="U95" s="355">
        <f t="shared" si="15"/>
        <v>820714073</v>
      </c>
      <c r="V95" s="222"/>
      <c r="W95" s="206">
        <f>U95/درآمدها!$E$11</f>
        <v>1.4971094094287671E-3</v>
      </c>
      <c r="Y95" s="162"/>
    </row>
    <row r="96" spans="1:25" s="60" customFormat="1" ht="42.75" customHeight="1">
      <c r="A96" s="142"/>
      <c r="B96" s="142" t="s">
        <v>348</v>
      </c>
      <c r="C96" s="153" t="s">
        <v>125</v>
      </c>
      <c r="D96" s="226"/>
      <c r="E96" s="154">
        <v>0</v>
      </c>
      <c r="F96" s="154"/>
      <c r="G96" s="154">
        <f t="shared" si="10"/>
        <v>5628781244</v>
      </c>
      <c r="H96" s="224"/>
      <c r="I96" s="154">
        <f t="shared" si="12"/>
        <v>35308458</v>
      </c>
      <c r="J96" s="225"/>
      <c r="K96" s="155">
        <f t="shared" si="14"/>
        <v>5664089702</v>
      </c>
      <c r="L96" s="155"/>
      <c r="M96" s="206">
        <f>K96/($K$203+'درآمد سرمایه گذاری در اوراق بها'!$I$11+'درآمد سپرده بانکی'!$E$11+'سایر درآمدها'!$C$11)</f>
        <v>1.479027529029887E-2</v>
      </c>
      <c r="N96" s="226"/>
      <c r="O96" s="154">
        <v>1713622300</v>
      </c>
      <c r="P96" s="154"/>
      <c r="Q96" s="154">
        <f t="shared" si="11"/>
        <v>6849906558</v>
      </c>
      <c r="R96" s="224"/>
      <c r="S96" s="154">
        <f t="shared" si="13"/>
        <v>45706837</v>
      </c>
      <c r="T96" s="224"/>
      <c r="U96" s="355">
        <f t="shared" si="15"/>
        <v>8609235695</v>
      </c>
      <c r="V96" s="222"/>
      <c r="W96" s="206">
        <f>U96/درآمدها!$E$11</f>
        <v>1.5704577502687118E-2</v>
      </c>
      <c r="Y96" s="162"/>
    </row>
    <row r="97" spans="1:25" s="60" customFormat="1" ht="42.75" customHeight="1">
      <c r="A97" s="142"/>
      <c r="B97" s="142" t="s">
        <v>349</v>
      </c>
      <c r="C97" s="153" t="s">
        <v>157</v>
      </c>
      <c r="D97" s="226"/>
      <c r="E97" s="154">
        <v>0</v>
      </c>
      <c r="F97" s="154"/>
      <c r="G97" s="154">
        <f t="shared" si="10"/>
        <v>1986815011</v>
      </c>
      <c r="H97" s="224"/>
      <c r="I97" s="154">
        <f t="shared" si="12"/>
        <v>3900529</v>
      </c>
      <c r="J97" s="225"/>
      <c r="K97" s="155">
        <f t="shared" si="14"/>
        <v>1990715540</v>
      </c>
      <c r="L97" s="155"/>
      <c r="M97" s="206">
        <f>K97/($K$203+'درآمد سرمایه گذاری در اوراق بها'!$I$11+'درآمد سپرده بانکی'!$E$11+'سایر درآمدها'!$C$11)</f>
        <v>5.1982282079465507E-3</v>
      </c>
      <c r="N97" s="226"/>
      <c r="O97" s="154">
        <v>4822394400</v>
      </c>
      <c r="P97" s="154"/>
      <c r="Q97" s="154">
        <f t="shared" si="11"/>
        <v>1112561885</v>
      </c>
      <c r="R97" s="224"/>
      <c r="S97" s="154">
        <f t="shared" si="13"/>
        <v>-1533768384</v>
      </c>
      <c r="T97" s="224"/>
      <c r="U97" s="355">
        <f t="shared" si="15"/>
        <v>4401187901</v>
      </c>
      <c r="V97" s="222"/>
      <c r="W97" s="206">
        <f>U97/درآمدها!$E$11</f>
        <v>8.0284474654684582E-3</v>
      </c>
      <c r="Y97" s="162"/>
    </row>
    <row r="98" spans="1:25" s="60" customFormat="1" ht="42.75" customHeight="1">
      <c r="A98" s="142"/>
      <c r="B98" s="142" t="s">
        <v>350</v>
      </c>
      <c r="C98" s="153" t="s">
        <v>156</v>
      </c>
      <c r="D98" s="226"/>
      <c r="E98" s="154">
        <v>0</v>
      </c>
      <c r="F98" s="154"/>
      <c r="G98" s="154">
        <f t="shared" si="10"/>
        <v>2426889363</v>
      </c>
      <c r="H98" s="224"/>
      <c r="I98" s="154">
        <f t="shared" si="12"/>
        <v>132334584</v>
      </c>
      <c r="J98" s="225"/>
      <c r="K98" s="155">
        <f t="shared" si="14"/>
        <v>2559223947</v>
      </c>
      <c r="L98" s="155"/>
      <c r="M98" s="206">
        <f>K98/($K$203+'درآمد سرمایه گذاری در اوراق بها'!$I$11+'درآمد سپرده بانکی'!$E$11+'سایر درآمدها'!$C$11)</f>
        <v>6.6827378620592411E-3</v>
      </c>
      <c r="N98" s="226"/>
      <c r="O98" s="154">
        <v>0</v>
      </c>
      <c r="P98" s="154"/>
      <c r="Q98" s="154">
        <f t="shared" si="11"/>
        <v>10540871923</v>
      </c>
      <c r="R98" s="224"/>
      <c r="S98" s="154">
        <f t="shared" si="13"/>
        <v>335965243</v>
      </c>
      <c r="T98" s="224"/>
      <c r="U98" s="355">
        <f t="shared" si="15"/>
        <v>10876837166</v>
      </c>
      <c r="V98" s="222"/>
      <c r="W98" s="206">
        <f>U98/درآمدها!$E$11</f>
        <v>1.9841033316901738E-2</v>
      </c>
      <c r="Y98" s="162"/>
    </row>
    <row r="99" spans="1:25" s="60" customFormat="1" ht="42.75" customHeight="1">
      <c r="A99" s="142"/>
      <c r="B99" s="142" t="s">
        <v>506</v>
      </c>
      <c r="C99" s="153" t="s">
        <v>487</v>
      </c>
      <c r="D99" s="226"/>
      <c r="E99" s="154">
        <v>0</v>
      </c>
      <c r="F99" s="154"/>
      <c r="G99" s="154">
        <f t="shared" si="10"/>
        <v>734378953</v>
      </c>
      <c r="H99" s="224"/>
      <c r="I99" s="154">
        <f t="shared" si="12"/>
        <v>0</v>
      </c>
      <c r="J99" s="225"/>
      <c r="K99" s="155">
        <f t="shared" si="14"/>
        <v>734378953</v>
      </c>
      <c r="L99" s="155"/>
      <c r="M99" s="206">
        <f>K99/($K$203+'درآمد سرمایه گذاری در اوراق بها'!$I$11+'درآمد سپرده بانکی'!$E$11+'سایر درآمدها'!$C$11)</f>
        <v>1.9176368055110746E-3</v>
      </c>
      <c r="N99" s="226"/>
      <c r="O99" s="154">
        <v>0</v>
      </c>
      <c r="P99" s="154"/>
      <c r="Q99" s="154">
        <f t="shared" si="11"/>
        <v>734378953</v>
      </c>
      <c r="R99" s="224"/>
      <c r="S99" s="154">
        <f t="shared" si="13"/>
        <v>205800715</v>
      </c>
      <c r="T99" s="224"/>
      <c r="U99" s="355">
        <f t="shared" si="15"/>
        <v>940179668</v>
      </c>
      <c r="V99" s="222"/>
      <c r="W99" s="206">
        <f>U99/درآمدها!$E$11</f>
        <v>1.7150331325150976E-3</v>
      </c>
      <c r="Y99" s="162"/>
    </row>
    <row r="100" spans="1:25" s="60" customFormat="1" ht="42.75" customHeight="1">
      <c r="A100" s="142"/>
      <c r="B100" s="142" t="s">
        <v>453</v>
      </c>
      <c r="C100" s="153" t="s">
        <v>442</v>
      </c>
      <c r="D100" s="226"/>
      <c r="E100" s="154">
        <v>0</v>
      </c>
      <c r="F100" s="154"/>
      <c r="G100" s="154">
        <v>0</v>
      </c>
      <c r="H100" s="224"/>
      <c r="I100" s="154">
        <f t="shared" si="12"/>
        <v>0</v>
      </c>
      <c r="J100" s="225"/>
      <c r="K100" s="155">
        <f t="shared" si="14"/>
        <v>0</v>
      </c>
      <c r="L100" s="155"/>
      <c r="M100" s="206">
        <f>K100/($K$203+'درآمد سرمایه گذاری در اوراق بها'!$I$11+'درآمد سپرده بانکی'!$E$11+'سایر درآمدها'!$C$11)</f>
        <v>0</v>
      </c>
      <c r="N100" s="226"/>
      <c r="O100" s="154">
        <v>0</v>
      </c>
      <c r="P100" s="154"/>
      <c r="Q100" s="154">
        <v>0</v>
      </c>
      <c r="R100" s="224"/>
      <c r="S100" s="154">
        <f t="shared" si="13"/>
        <v>-10322919</v>
      </c>
      <c r="T100" s="224"/>
      <c r="U100" s="355">
        <f t="shared" si="15"/>
        <v>-10322919</v>
      </c>
      <c r="V100" s="222"/>
      <c r="W100" s="206">
        <f>U100/درآمدها!$E$11</f>
        <v>-1.8830600907304046E-5</v>
      </c>
      <c r="Y100" s="162"/>
    </row>
    <row r="101" spans="1:25" s="60" customFormat="1" ht="42.75" customHeight="1">
      <c r="A101" s="142"/>
      <c r="B101" s="142" t="s">
        <v>351</v>
      </c>
      <c r="C101" s="153" t="s">
        <v>134</v>
      </c>
      <c r="D101" s="226"/>
      <c r="E101" s="154">
        <v>0</v>
      </c>
      <c r="F101" s="154"/>
      <c r="G101" s="154">
        <f t="shared" ref="G101:G107" si="16">VLOOKUP(B101,a,10,0)</f>
        <v>3075210399</v>
      </c>
      <c r="H101" s="224"/>
      <c r="I101" s="154">
        <f t="shared" si="12"/>
        <v>28389249</v>
      </c>
      <c r="J101" s="225"/>
      <c r="K101" s="155">
        <f t="shared" si="14"/>
        <v>3103599648</v>
      </c>
      <c r="L101" s="155"/>
      <c r="M101" s="206">
        <f>K101/($K$203+'درآمد سرمایه گذاری در اوراق بها'!$I$11+'درآمد سپرده بانکی'!$E$11+'سایر درآمدها'!$C$11)</f>
        <v>8.1042313239824224E-3</v>
      </c>
      <c r="N101" s="226"/>
      <c r="O101" s="154">
        <v>0</v>
      </c>
      <c r="P101" s="154"/>
      <c r="Q101" s="154">
        <f t="shared" ref="Q101:Q107" si="17">VLOOKUP(B101,a,18,0)</f>
        <v>5943082338</v>
      </c>
      <c r="R101" s="224"/>
      <c r="S101" s="154">
        <f t="shared" si="13"/>
        <v>25231000</v>
      </c>
      <c r="T101" s="224"/>
      <c r="U101" s="355">
        <f t="shared" si="15"/>
        <v>5968313338</v>
      </c>
      <c r="V101" s="222"/>
      <c r="W101" s="206">
        <f>U101/درآمدها!$E$11</f>
        <v>1.0887126650670964E-2</v>
      </c>
      <c r="Y101" s="162"/>
    </row>
    <row r="102" spans="1:25" s="60" customFormat="1" ht="42.75" customHeight="1">
      <c r="A102" s="142"/>
      <c r="B102" s="142" t="s">
        <v>352</v>
      </c>
      <c r="C102" s="153" t="s">
        <v>263</v>
      </c>
      <c r="D102" s="226"/>
      <c r="E102" s="154">
        <v>0</v>
      </c>
      <c r="F102" s="154"/>
      <c r="G102" s="154">
        <f t="shared" si="16"/>
        <v>155255914</v>
      </c>
      <c r="H102" s="224"/>
      <c r="I102" s="154">
        <f t="shared" si="12"/>
        <v>10754712</v>
      </c>
      <c r="J102" s="225"/>
      <c r="K102" s="155">
        <f t="shared" si="14"/>
        <v>166010626</v>
      </c>
      <c r="L102" s="155"/>
      <c r="M102" s="206">
        <f>K102/($K$203+'درآمد سرمایه گذاری در اوراق بها'!$I$11+'درآمد سپرده بانکی'!$E$11+'سایر درآمدها'!$C$11)</f>
        <v>4.3349293334599929E-4</v>
      </c>
      <c r="N102" s="226"/>
      <c r="O102" s="154">
        <v>0</v>
      </c>
      <c r="P102" s="154"/>
      <c r="Q102" s="154">
        <f t="shared" si="17"/>
        <v>668511609</v>
      </c>
      <c r="R102" s="224"/>
      <c r="S102" s="154">
        <f t="shared" si="13"/>
        <v>87255524</v>
      </c>
      <c r="T102" s="224"/>
      <c r="U102" s="355">
        <f t="shared" si="15"/>
        <v>755767133</v>
      </c>
      <c r="V102" s="222"/>
      <c r="W102" s="206">
        <f>U102/درآمدها!$E$11</f>
        <v>1.3786361454914428E-3</v>
      </c>
      <c r="Y102" s="162"/>
    </row>
    <row r="103" spans="1:25" s="60" customFormat="1" ht="42.75" customHeight="1">
      <c r="A103" s="142"/>
      <c r="B103" s="142" t="s">
        <v>353</v>
      </c>
      <c r="C103" s="153" t="s">
        <v>121</v>
      </c>
      <c r="D103" s="226"/>
      <c r="E103" s="154">
        <v>0</v>
      </c>
      <c r="F103" s="154"/>
      <c r="G103" s="154">
        <f t="shared" si="16"/>
        <v>2061334826</v>
      </c>
      <c r="H103" s="224"/>
      <c r="I103" s="154">
        <f t="shared" si="12"/>
        <v>4420694</v>
      </c>
      <c r="J103" s="225"/>
      <c r="K103" s="155">
        <f t="shared" si="14"/>
        <v>2065755520</v>
      </c>
      <c r="L103" s="155"/>
      <c r="M103" s="206">
        <f>K103/($K$203+'درآمد سرمایه گذاری در اوراق بها'!$I$11+'درآمد سپرده بانکی'!$E$11+'سایر درآمدها'!$C$11)</f>
        <v>5.3941753098412518E-3</v>
      </c>
      <c r="N103" s="226"/>
      <c r="O103" s="154">
        <v>2247281050</v>
      </c>
      <c r="P103" s="154"/>
      <c r="Q103" s="154">
        <f t="shared" si="17"/>
        <v>1594214876</v>
      </c>
      <c r="R103" s="224"/>
      <c r="S103" s="154">
        <f t="shared" si="13"/>
        <v>-418698006</v>
      </c>
      <c r="T103" s="224"/>
      <c r="U103" s="355">
        <f t="shared" si="15"/>
        <v>3422797920</v>
      </c>
      <c r="V103" s="222"/>
      <c r="W103" s="206">
        <f>U103/درآمدها!$E$11</f>
        <v>6.2437128120321787E-3</v>
      </c>
      <c r="Y103" s="162"/>
    </row>
    <row r="104" spans="1:25" s="60" customFormat="1" ht="42.75" customHeight="1">
      <c r="A104" s="142"/>
      <c r="B104" s="142" t="s">
        <v>451</v>
      </c>
      <c r="C104" s="153" t="s">
        <v>276</v>
      </c>
      <c r="D104" s="226"/>
      <c r="E104" s="154">
        <v>0</v>
      </c>
      <c r="F104" s="154"/>
      <c r="G104" s="154">
        <f t="shared" si="16"/>
        <v>0</v>
      </c>
      <c r="H104" s="224"/>
      <c r="I104" s="154">
        <f t="shared" si="12"/>
        <v>0</v>
      </c>
      <c r="J104" s="225"/>
      <c r="K104" s="155">
        <f t="shared" si="14"/>
        <v>0</v>
      </c>
      <c r="L104" s="155"/>
      <c r="M104" s="206">
        <f>K104/($K$203+'درآمد سرمایه گذاری در اوراق بها'!$I$11+'درآمد سپرده بانکی'!$E$11+'سایر درآمدها'!$C$11)</f>
        <v>0</v>
      </c>
      <c r="N104" s="226"/>
      <c r="O104" s="154">
        <v>0</v>
      </c>
      <c r="P104" s="154"/>
      <c r="Q104" s="154">
        <f t="shared" si="17"/>
        <v>-598304543</v>
      </c>
      <c r="R104" s="224"/>
      <c r="S104" s="154">
        <f t="shared" si="13"/>
        <v>-42076577</v>
      </c>
      <c r="T104" s="224"/>
      <c r="U104" s="355">
        <f t="shared" si="15"/>
        <v>-640381120</v>
      </c>
      <c r="V104" s="222"/>
      <c r="W104" s="206">
        <f>U104/درآمدها!$E$11</f>
        <v>-1.1681542109642032E-3</v>
      </c>
      <c r="Y104" s="162"/>
    </row>
    <row r="105" spans="1:25" s="60" customFormat="1" ht="42.75" customHeight="1">
      <c r="A105" s="142"/>
      <c r="B105" s="142" t="s">
        <v>354</v>
      </c>
      <c r="C105" s="153" t="s">
        <v>264</v>
      </c>
      <c r="D105" s="226"/>
      <c r="E105" s="154">
        <v>0</v>
      </c>
      <c r="F105" s="154"/>
      <c r="G105" s="154">
        <f t="shared" si="16"/>
        <v>1506773139</v>
      </c>
      <c r="H105" s="224"/>
      <c r="I105" s="154">
        <f t="shared" si="12"/>
        <v>-1634022</v>
      </c>
      <c r="J105" s="225"/>
      <c r="K105" s="155">
        <f t="shared" si="14"/>
        <v>1505139117</v>
      </c>
      <c r="L105" s="155"/>
      <c r="M105" s="206">
        <f>K105/($K$203+'درآمد سرمایه گذاری در اوراق بها'!$I$11+'درآمد سپرده بانکی'!$E$11+'سایر درآمدها'!$C$11)</f>
        <v>3.9302735411776424E-3</v>
      </c>
      <c r="N105" s="226"/>
      <c r="O105" s="154">
        <v>0</v>
      </c>
      <c r="P105" s="154"/>
      <c r="Q105" s="154">
        <f t="shared" si="17"/>
        <v>1449920934</v>
      </c>
      <c r="R105" s="224"/>
      <c r="S105" s="154">
        <f t="shared" si="13"/>
        <v>-1314586</v>
      </c>
      <c r="T105" s="224"/>
      <c r="U105" s="355">
        <f t="shared" si="15"/>
        <v>1448606348</v>
      </c>
      <c r="V105" s="222"/>
      <c r="W105" s="206">
        <f>U105/درآمدها!$E$11</f>
        <v>2.6424820354567541E-3</v>
      </c>
      <c r="Y105" s="162"/>
    </row>
    <row r="106" spans="1:25" s="60" customFormat="1" ht="42.75" customHeight="1">
      <c r="A106" s="142"/>
      <c r="B106" s="142" t="s">
        <v>355</v>
      </c>
      <c r="C106" s="153" t="s">
        <v>122</v>
      </c>
      <c r="D106" s="226"/>
      <c r="E106" s="154">
        <v>0</v>
      </c>
      <c r="F106" s="154"/>
      <c r="G106" s="154">
        <f t="shared" si="16"/>
        <v>2765123105</v>
      </c>
      <c r="H106" s="224"/>
      <c r="I106" s="154">
        <f t="shared" si="12"/>
        <v>13503628</v>
      </c>
      <c r="J106" s="225"/>
      <c r="K106" s="155">
        <f t="shared" si="14"/>
        <v>2778626733</v>
      </c>
      <c r="L106" s="155"/>
      <c r="M106" s="206">
        <f>K106/($K$203+'درآمد سرمایه گذاری در اوراق بها'!$I$11+'درآمد سپرده بانکی'!$E$11+'سایر درآمدها'!$C$11)</f>
        <v>7.2556503290444841E-3</v>
      </c>
      <c r="N106" s="226"/>
      <c r="O106" s="154">
        <v>0</v>
      </c>
      <c r="P106" s="154"/>
      <c r="Q106" s="154">
        <f t="shared" si="17"/>
        <v>3442224884</v>
      </c>
      <c r="R106" s="224"/>
      <c r="S106" s="154">
        <f t="shared" si="13"/>
        <v>12765569</v>
      </c>
      <c r="T106" s="224"/>
      <c r="U106" s="355">
        <f t="shared" si="15"/>
        <v>3454990453</v>
      </c>
      <c r="V106" s="222"/>
      <c r="W106" s="206">
        <f>U106/درآمدها!$E$11</f>
        <v>6.3024369714601673E-3</v>
      </c>
      <c r="Y106" s="162"/>
    </row>
    <row r="107" spans="1:25" s="60" customFormat="1" ht="42.75" customHeight="1">
      <c r="A107" s="142"/>
      <c r="B107" s="142" t="s">
        <v>714</v>
      </c>
      <c r="C107" s="153" t="s">
        <v>540</v>
      </c>
      <c r="D107" s="226"/>
      <c r="E107" s="154">
        <v>0</v>
      </c>
      <c r="F107" s="154"/>
      <c r="G107" s="154">
        <f t="shared" si="16"/>
        <v>-10795</v>
      </c>
      <c r="H107" s="224"/>
      <c r="I107" s="154">
        <v>0</v>
      </c>
      <c r="J107" s="225"/>
      <c r="K107" s="155">
        <f t="shared" si="14"/>
        <v>-10795</v>
      </c>
      <c r="L107" s="155"/>
      <c r="M107" s="206">
        <f>K107/($K$203+'درآمد سرمایه گذاری در اوراق بها'!$I$11+'درآمد سپرده بانکی'!$E$11+'سایر درآمدها'!$C$11)</f>
        <v>-2.818829329316584E-8</v>
      </c>
      <c r="N107" s="226"/>
      <c r="O107" s="154">
        <v>0</v>
      </c>
      <c r="P107" s="154"/>
      <c r="Q107" s="154">
        <f t="shared" si="17"/>
        <v>-10795</v>
      </c>
      <c r="R107" s="224"/>
      <c r="S107" s="154">
        <v>0</v>
      </c>
      <c r="T107" s="224"/>
      <c r="U107" s="355">
        <f t="shared" si="15"/>
        <v>-10795</v>
      </c>
      <c r="V107" s="222"/>
      <c r="W107" s="206">
        <f>U107/درآمدها!$E$11</f>
        <v>-1.9691749668320286E-8</v>
      </c>
      <c r="Y107" s="162"/>
    </row>
    <row r="108" spans="1:25" s="60" customFormat="1" ht="42.75" customHeight="1">
      <c r="A108" s="142"/>
      <c r="B108" s="142" t="s">
        <v>356</v>
      </c>
      <c r="C108" s="153" t="s">
        <v>107</v>
      </c>
      <c r="D108" s="226"/>
      <c r="E108" s="154">
        <v>0</v>
      </c>
      <c r="F108" s="154"/>
      <c r="G108" s="154">
        <v>0</v>
      </c>
      <c r="H108" s="224"/>
      <c r="I108" s="154">
        <f>VLOOKUP(B108,b,10,0)</f>
        <v>0</v>
      </c>
      <c r="J108" s="225"/>
      <c r="K108" s="155">
        <f t="shared" si="14"/>
        <v>0</v>
      </c>
      <c r="L108" s="155"/>
      <c r="M108" s="206">
        <f>K108/($K$203+'درآمد سرمایه گذاری در اوراق بها'!$I$11+'درآمد سپرده بانکی'!$E$11+'سایر درآمدها'!$C$11)</f>
        <v>0</v>
      </c>
      <c r="N108" s="226"/>
      <c r="O108" s="154">
        <v>0</v>
      </c>
      <c r="P108" s="154"/>
      <c r="Q108" s="154">
        <v>0</v>
      </c>
      <c r="R108" s="224"/>
      <c r="S108" s="154">
        <f>VLOOKUP(B108,b,18,0)</f>
        <v>-1075497446</v>
      </c>
      <c r="T108" s="224"/>
      <c r="U108" s="355">
        <f t="shared" si="15"/>
        <v>-1075497446</v>
      </c>
      <c r="V108" s="222"/>
      <c r="W108" s="206">
        <f>U108/درآمدها!$E$11</f>
        <v>-1.9618736892588989E-3</v>
      </c>
      <c r="Y108" s="162"/>
    </row>
    <row r="109" spans="1:25" s="60" customFormat="1" ht="42.75" customHeight="1">
      <c r="A109" s="142"/>
      <c r="B109" s="142" t="s">
        <v>715</v>
      </c>
      <c r="C109" s="153" t="s">
        <v>517</v>
      </c>
      <c r="D109" s="226"/>
      <c r="E109" s="154">
        <v>0</v>
      </c>
      <c r="F109" s="154"/>
      <c r="G109" s="154">
        <f>VLOOKUP(B109,a,10,0)</f>
        <v>-1258526483</v>
      </c>
      <c r="H109" s="224"/>
      <c r="I109" s="154">
        <f>VLOOKUP(B109,b,10,0)</f>
        <v>3650895</v>
      </c>
      <c r="J109" s="225"/>
      <c r="K109" s="155">
        <f t="shared" si="14"/>
        <v>-1254875588</v>
      </c>
      <c r="L109" s="155"/>
      <c r="M109" s="206">
        <f>K109/($K$203+'درآمد سرمایه گذاری در اوراق بها'!$I$11+'درآمد سپرده بانکی'!$E$11+'سایر درآمدها'!$C$11)</f>
        <v>-3.2767763891596051E-3</v>
      </c>
      <c r="N109" s="226"/>
      <c r="O109" s="154">
        <v>0</v>
      </c>
      <c r="P109" s="154"/>
      <c r="Q109" s="154">
        <f>VLOOKUP(B109,a,18,0)</f>
        <v>-735825532</v>
      </c>
      <c r="R109" s="224"/>
      <c r="S109" s="154">
        <f>VLOOKUP(B109,b,18,0)</f>
        <v>55101004</v>
      </c>
      <c r="T109" s="224"/>
      <c r="U109" s="355">
        <f t="shared" si="15"/>
        <v>-680724528</v>
      </c>
      <c r="V109" s="222"/>
      <c r="W109" s="206">
        <f>U109/درآمدها!$E$11</f>
        <v>-1.2417468270923097E-3</v>
      </c>
      <c r="Y109" s="162"/>
    </row>
    <row r="110" spans="1:25" s="60" customFormat="1" ht="42.75" customHeight="1">
      <c r="A110" s="142"/>
      <c r="B110" s="142" t="s">
        <v>357</v>
      </c>
      <c r="C110" s="153" t="s">
        <v>196</v>
      </c>
      <c r="D110" s="226"/>
      <c r="E110" s="154">
        <v>0</v>
      </c>
      <c r="F110" s="154"/>
      <c r="G110" s="154">
        <v>0</v>
      </c>
      <c r="H110" s="224"/>
      <c r="I110" s="154">
        <f>VLOOKUP(B110,b,10,0)</f>
        <v>0</v>
      </c>
      <c r="J110" s="225"/>
      <c r="K110" s="155">
        <f t="shared" si="14"/>
        <v>0</v>
      </c>
      <c r="L110" s="155"/>
      <c r="M110" s="206">
        <f>K110/($K$203+'درآمد سرمایه گذاری در اوراق بها'!$I$11+'درآمد سپرده بانکی'!$E$11+'سایر درآمدها'!$C$11)</f>
        <v>0</v>
      </c>
      <c r="N110" s="226"/>
      <c r="O110" s="154">
        <v>0</v>
      </c>
      <c r="P110" s="154"/>
      <c r="Q110" s="154">
        <v>0</v>
      </c>
      <c r="R110" s="224"/>
      <c r="S110" s="154">
        <f>VLOOKUP(B110,b,18,0)</f>
        <v>-844154727</v>
      </c>
      <c r="T110" s="224"/>
      <c r="U110" s="355">
        <f t="shared" si="15"/>
        <v>-844154727</v>
      </c>
      <c r="V110" s="222"/>
      <c r="W110" s="206">
        <f>U110/درآمدها!$E$11</f>
        <v>-1.5398687879030341E-3</v>
      </c>
      <c r="Y110" s="162"/>
    </row>
    <row r="111" spans="1:25" s="60" customFormat="1" ht="42.75" customHeight="1">
      <c r="A111" s="142"/>
      <c r="B111" s="142" t="s">
        <v>358</v>
      </c>
      <c r="C111" s="153" t="s">
        <v>141</v>
      </c>
      <c r="D111" s="226"/>
      <c r="E111" s="154">
        <v>0</v>
      </c>
      <c r="F111" s="154"/>
      <c r="G111" s="154">
        <f>VLOOKUP(B111,a,10,0)</f>
        <v>953196241</v>
      </c>
      <c r="H111" s="224"/>
      <c r="I111" s="154">
        <f>VLOOKUP(B111,b,10,0)</f>
        <v>-3787388</v>
      </c>
      <c r="J111" s="225"/>
      <c r="K111" s="155">
        <f t="shared" si="14"/>
        <v>949408853</v>
      </c>
      <c r="L111" s="155"/>
      <c r="M111" s="206">
        <f>K111/($K$203+'درآمد سرمایه گذاری در اوراق بها'!$I$11+'درآمد سپرده بانکی'!$E$11+'سایر درآمدها'!$C$11)</f>
        <v>2.4791306348765328E-3</v>
      </c>
      <c r="N111" s="226"/>
      <c r="O111" s="154">
        <v>898542429</v>
      </c>
      <c r="P111" s="154"/>
      <c r="Q111" s="154">
        <f>VLOOKUP(B111,a,18,0)</f>
        <v>346127765</v>
      </c>
      <c r="R111" s="224"/>
      <c r="S111" s="154">
        <f>VLOOKUP(B111,b,18,0)</f>
        <v>-314493353</v>
      </c>
      <c r="T111" s="224"/>
      <c r="U111" s="355">
        <f t="shared" si="15"/>
        <v>930176841</v>
      </c>
      <c r="V111" s="222"/>
      <c r="W111" s="206">
        <f>U111/درآمدها!$E$11</f>
        <v>1.6967864289245912E-3</v>
      </c>
      <c r="Y111" s="162"/>
    </row>
    <row r="112" spans="1:25" s="60" customFormat="1" ht="42.75" customHeight="1">
      <c r="A112" s="142"/>
      <c r="B112" s="142" t="s">
        <v>454</v>
      </c>
      <c r="C112" s="153" t="s">
        <v>545</v>
      </c>
      <c r="D112" s="226"/>
      <c r="E112" s="154">
        <v>0</v>
      </c>
      <c r="F112" s="154"/>
      <c r="G112" s="154">
        <v>0</v>
      </c>
      <c r="H112" s="224"/>
      <c r="I112" s="154">
        <v>0</v>
      </c>
      <c r="J112" s="225"/>
      <c r="K112" s="155">
        <f t="shared" si="14"/>
        <v>0</v>
      </c>
      <c r="L112" s="155"/>
      <c r="M112" s="206">
        <f>K112/($K$203+'درآمد سرمایه گذاری در اوراق بها'!$I$11+'درآمد سپرده بانکی'!$E$11+'سایر درآمدها'!$C$11)</f>
        <v>0</v>
      </c>
      <c r="N112" s="226"/>
      <c r="O112" s="154">
        <v>0</v>
      </c>
      <c r="P112" s="154"/>
      <c r="Q112" s="154">
        <v>0</v>
      </c>
      <c r="R112" s="224"/>
      <c r="S112" s="154">
        <v>0</v>
      </c>
      <c r="T112" s="224"/>
      <c r="U112" s="355">
        <f t="shared" si="15"/>
        <v>0</v>
      </c>
      <c r="V112" s="222"/>
      <c r="W112" s="206">
        <f>U112/درآمدها!$E$11</f>
        <v>0</v>
      </c>
      <c r="Y112" s="162"/>
    </row>
    <row r="113" spans="1:25" s="60" customFormat="1" ht="42.75" customHeight="1">
      <c r="A113" s="142"/>
      <c r="B113" s="142" t="s">
        <v>359</v>
      </c>
      <c r="C113" s="153" t="s">
        <v>199</v>
      </c>
      <c r="D113" s="226"/>
      <c r="E113" s="154">
        <v>0</v>
      </c>
      <c r="F113" s="154"/>
      <c r="G113" s="154">
        <f>VLOOKUP(B113,a,10,0)</f>
        <v>1049167447</v>
      </c>
      <c r="H113" s="224"/>
      <c r="I113" s="154">
        <f t="shared" ref="I113:I144" si="18">VLOOKUP(B113,b,10,0)</f>
        <v>4536280</v>
      </c>
      <c r="J113" s="225"/>
      <c r="K113" s="155">
        <f t="shared" si="14"/>
        <v>1053703727</v>
      </c>
      <c r="L113" s="155"/>
      <c r="M113" s="206">
        <f>K113/($K$203+'درآمد سرمایه گذاری در اوراق بها'!$I$11+'درآمد سپرده بانکی'!$E$11+'سایر درآمدها'!$C$11)</f>
        <v>2.751469170984525E-3</v>
      </c>
      <c r="N113" s="226"/>
      <c r="O113" s="154">
        <v>0</v>
      </c>
      <c r="P113" s="154"/>
      <c r="Q113" s="154">
        <f>VLOOKUP(B113,a,18,0)</f>
        <v>1607245973</v>
      </c>
      <c r="R113" s="224"/>
      <c r="S113" s="154">
        <f t="shared" ref="S113:S144" si="19">VLOOKUP(B113,b,18,0)</f>
        <v>40264894</v>
      </c>
      <c r="T113" s="224"/>
      <c r="U113" s="355">
        <f t="shared" si="15"/>
        <v>1647510867</v>
      </c>
      <c r="V113" s="222"/>
      <c r="W113" s="206">
        <f>U113/درآمدها!$E$11</f>
        <v>3.0053146427791865E-3</v>
      </c>
      <c r="Y113" s="162"/>
    </row>
    <row r="114" spans="1:25" s="60" customFormat="1" ht="42.75" customHeight="1">
      <c r="A114" s="142"/>
      <c r="B114" s="142" t="s">
        <v>360</v>
      </c>
      <c r="C114" s="153" t="s">
        <v>215</v>
      </c>
      <c r="D114" s="226"/>
      <c r="E114" s="154">
        <v>0</v>
      </c>
      <c r="F114" s="154"/>
      <c r="G114" s="154">
        <f>VLOOKUP(B114,a,10,0)</f>
        <v>1292300160</v>
      </c>
      <c r="H114" s="224"/>
      <c r="I114" s="154">
        <f t="shared" si="18"/>
        <v>1127020841</v>
      </c>
      <c r="J114" s="225"/>
      <c r="K114" s="155">
        <f t="shared" si="14"/>
        <v>2419321001</v>
      </c>
      <c r="L114" s="155"/>
      <c r="M114" s="206">
        <f>K114/($K$203+'درآمد سرمایه گذاری در اوراق بها'!$I$11+'درآمد سپرده بانکی'!$E$11+'سایر درآمدها'!$C$11)</f>
        <v>6.3174182442337712E-3</v>
      </c>
      <c r="N114" s="226"/>
      <c r="O114" s="154">
        <v>0</v>
      </c>
      <c r="P114" s="154"/>
      <c r="Q114" s="154">
        <f>VLOOKUP(B114,a,18,0)</f>
        <v>5192135416</v>
      </c>
      <c r="R114" s="224"/>
      <c r="S114" s="154">
        <f t="shared" si="19"/>
        <v>1984112979</v>
      </c>
      <c r="T114" s="224"/>
      <c r="U114" s="355">
        <f t="shared" si="15"/>
        <v>7176248395</v>
      </c>
      <c r="V114" s="222"/>
      <c r="W114" s="206">
        <f>U114/درآمدها!$E$11</f>
        <v>1.3090587026588722E-2</v>
      </c>
      <c r="Y114" s="162"/>
    </row>
    <row r="115" spans="1:25" s="60" customFormat="1" ht="42.75" customHeight="1">
      <c r="A115" s="142"/>
      <c r="B115" s="142" t="s">
        <v>361</v>
      </c>
      <c r="C115" s="153" t="s">
        <v>195</v>
      </c>
      <c r="D115" s="226"/>
      <c r="E115" s="154">
        <v>0</v>
      </c>
      <c r="F115" s="154"/>
      <c r="G115" s="154">
        <v>0</v>
      </c>
      <c r="H115" s="224"/>
      <c r="I115" s="154">
        <f t="shared" si="18"/>
        <v>0</v>
      </c>
      <c r="J115" s="225"/>
      <c r="K115" s="155">
        <f t="shared" si="14"/>
        <v>0</v>
      </c>
      <c r="L115" s="155"/>
      <c r="M115" s="206">
        <f>K115/($K$203+'درآمد سرمایه گذاری در اوراق بها'!$I$11+'درآمد سپرده بانکی'!$E$11+'سایر درآمدها'!$C$11)</f>
        <v>0</v>
      </c>
      <c r="N115" s="226"/>
      <c r="O115" s="154">
        <v>0</v>
      </c>
      <c r="P115" s="154"/>
      <c r="Q115" s="154">
        <v>0</v>
      </c>
      <c r="R115" s="224"/>
      <c r="S115" s="154">
        <f t="shared" si="19"/>
        <v>-1651763670</v>
      </c>
      <c r="T115" s="224"/>
      <c r="U115" s="355">
        <f t="shared" si="15"/>
        <v>-1651763670</v>
      </c>
      <c r="V115" s="222"/>
      <c r="W115" s="206">
        <f>U115/درآمدها!$E$11</f>
        <v>-3.0130724132344604E-3</v>
      </c>
      <c r="Y115" s="162"/>
    </row>
    <row r="116" spans="1:25" s="60" customFormat="1" ht="42.75" customHeight="1">
      <c r="A116" s="142"/>
      <c r="B116" s="142" t="s">
        <v>362</v>
      </c>
      <c r="C116" s="153" t="s">
        <v>104</v>
      </c>
      <c r="D116" s="226"/>
      <c r="E116" s="154">
        <v>0</v>
      </c>
      <c r="F116" s="154"/>
      <c r="G116" s="154">
        <f>VLOOKUP(B116,a,10,0)</f>
        <v>4983575785</v>
      </c>
      <c r="H116" s="224"/>
      <c r="I116" s="154">
        <f t="shared" si="18"/>
        <v>97481022</v>
      </c>
      <c r="J116" s="225"/>
      <c r="K116" s="155">
        <f t="shared" si="14"/>
        <v>5081056807</v>
      </c>
      <c r="L116" s="155"/>
      <c r="M116" s="206">
        <f>K116/($K$203+'درآمد سرمایه گذاری در اوراق بها'!$I$11+'درآمد سپرده بانکی'!$E$11+'سایر درآمدها'!$C$11)</f>
        <v>1.3267838769333278E-2</v>
      </c>
      <c r="N116" s="226"/>
      <c r="O116" s="154">
        <v>0</v>
      </c>
      <c r="P116" s="154"/>
      <c r="Q116" s="154">
        <f>VLOOKUP(B116,a,18,0)</f>
        <v>4327779259</v>
      </c>
      <c r="R116" s="224"/>
      <c r="S116" s="154">
        <f t="shared" si="19"/>
        <v>-76681474</v>
      </c>
      <c r="T116" s="224"/>
      <c r="U116" s="355">
        <f t="shared" si="15"/>
        <v>4251097785</v>
      </c>
      <c r="V116" s="222"/>
      <c r="W116" s="206">
        <f>U116/درآمدها!$E$11</f>
        <v>7.7546598793673789E-3</v>
      </c>
      <c r="Y116" s="162"/>
    </row>
    <row r="117" spans="1:25" s="60" customFormat="1" ht="42.75" customHeight="1">
      <c r="A117" s="142"/>
      <c r="B117" s="142" t="s">
        <v>363</v>
      </c>
      <c r="C117" s="153" t="s">
        <v>91</v>
      </c>
      <c r="D117" s="226"/>
      <c r="E117" s="154">
        <v>0</v>
      </c>
      <c r="F117" s="154"/>
      <c r="G117" s="154">
        <v>0</v>
      </c>
      <c r="H117" s="224"/>
      <c r="I117" s="154">
        <f t="shared" si="18"/>
        <v>0</v>
      </c>
      <c r="J117" s="225"/>
      <c r="K117" s="155">
        <f t="shared" si="14"/>
        <v>0</v>
      </c>
      <c r="L117" s="155"/>
      <c r="M117" s="206">
        <f>K117/($K$203+'درآمد سرمایه گذاری در اوراق بها'!$I$11+'درآمد سپرده بانکی'!$E$11+'سایر درآمدها'!$C$11)</f>
        <v>0</v>
      </c>
      <c r="N117" s="226"/>
      <c r="O117" s="154">
        <v>0</v>
      </c>
      <c r="P117" s="154"/>
      <c r="Q117" s="154">
        <v>0</v>
      </c>
      <c r="R117" s="224"/>
      <c r="S117" s="154">
        <f t="shared" si="19"/>
        <v>533233327</v>
      </c>
      <c r="T117" s="224"/>
      <c r="U117" s="355">
        <f t="shared" si="15"/>
        <v>533233327</v>
      </c>
      <c r="V117" s="222"/>
      <c r="W117" s="206">
        <f>U117/درآمدها!$E$11</f>
        <v>9.7270006392677843E-4</v>
      </c>
      <c r="Y117" s="162"/>
    </row>
    <row r="118" spans="1:25" s="60" customFormat="1" ht="42.75" customHeight="1">
      <c r="A118" s="142"/>
      <c r="B118" s="142" t="s">
        <v>364</v>
      </c>
      <c r="C118" s="153" t="s">
        <v>106</v>
      </c>
      <c r="D118" s="226"/>
      <c r="E118" s="154">
        <v>0</v>
      </c>
      <c r="F118" s="154"/>
      <c r="G118" s="154">
        <f t="shared" ref="G118:G126" si="20">VLOOKUP(B118,a,10,0)</f>
        <v>1711304242</v>
      </c>
      <c r="H118" s="224"/>
      <c r="I118" s="154">
        <f t="shared" si="18"/>
        <v>2476725091</v>
      </c>
      <c r="J118" s="225"/>
      <c r="K118" s="155">
        <f t="shared" si="14"/>
        <v>4188029333</v>
      </c>
      <c r="L118" s="155"/>
      <c r="M118" s="206">
        <f>K118/($K$203+'درآمد سرمایه گذاری در اوراق بها'!$I$11+'درآمد سپرده بانکی'!$E$11+'سایر درآمدها'!$C$11)</f>
        <v>1.0935933224547077E-2</v>
      </c>
      <c r="N118" s="226"/>
      <c r="O118" s="154">
        <v>0</v>
      </c>
      <c r="P118" s="154"/>
      <c r="Q118" s="154">
        <f t="shared" ref="Q118:Q126" si="21">VLOOKUP(B118,a,18,0)</f>
        <v>3131618241</v>
      </c>
      <c r="R118" s="224"/>
      <c r="S118" s="154">
        <f t="shared" si="19"/>
        <v>2479318134</v>
      </c>
      <c r="T118" s="224"/>
      <c r="U118" s="355">
        <f t="shared" si="15"/>
        <v>5610936375</v>
      </c>
      <c r="V118" s="222"/>
      <c r="W118" s="206">
        <f>U118/درآمدها!$E$11</f>
        <v>1.0235215794476376E-2</v>
      </c>
      <c r="Y118" s="162"/>
    </row>
    <row r="119" spans="1:25" s="60" customFormat="1" ht="42.75" customHeight="1">
      <c r="A119" s="142"/>
      <c r="B119" s="142" t="s">
        <v>365</v>
      </c>
      <c r="C119" s="153" t="s">
        <v>187</v>
      </c>
      <c r="D119" s="226"/>
      <c r="E119" s="154">
        <v>0</v>
      </c>
      <c r="F119" s="154"/>
      <c r="G119" s="154">
        <f t="shared" si="20"/>
        <v>2351031736</v>
      </c>
      <c r="H119" s="224"/>
      <c r="I119" s="154">
        <f t="shared" si="18"/>
        <v>177663824</v>
      </c>
      <c r="J119" s="225"/>
      <c r="K119" s="155">
        <f t="shared" si="14"/>
        <v>2528695560</v>
      </c>
      <c r="L119" s="155"/>
      <c r="M119" s="206">
        <f>K119/($K$203+'درآمد سرمایه گذاری در اوراق بها'!$I$11+'درآمد سپرده بانکی'!$E$11+'سایر درآمدها'!$C$11)</f>
        <v>6.6030210369991882E-3</v>
      </c>
      <c r="N119" s="226"/>
      <c r="O119" s="154">
        <v>0</v>
      </c>
      <c r="P119" s="154"/>
      <c r="Q119" s="154">
        <f t="shared" si="21"/>
        <v>6969184173</v>
      </c>
      <c r="R119" s="224"/>
      <c r="S119" s="154">
        <f t="shared" si="19"/>
        <v>703263168</v>
      </c>
      <c r="T119" s="224"/>
      <c r="U119" s="355">
        <f t="shared" si="15"/>
        <v>7672447341</v>
      </c>
      <c r="V119" s="222"/>
      <c r="W119" s="206">
        <f>U119/درآمدها!$E$11</f>
        <v>1.3995730651444337E-2</v>
      </c>
      <c r="Y119" s="162"/>
    </row>
    <row r="120" spans="1:25" s="60" customFormat="1" ht="42.75" customHeight="1">
      <c r="A120" s="142"/>
      <c r="B120" s="142" t="s">
        <v>366</v>
      </c>
      <c r="C120" s="153" t="s">
        <v>189</v>
      </c>
      <c r="D120" s="226"/>
      <c r="E120" s="154">
        <v>0</v>
      </c>
      <c r="F120" s="154"/>
      <c r="G120" s="154">
        <f t="shared" si="20"/>
        <v>1075461361</v>
      </c>
      <c r="H120" s="224"/>
      <c r="I120" s="154">
        <f t="shared" si="18"/>
        <v>27686907</v>
      </c>
      <c r="J120" s="225"/>
      <c r="K120" s="155">
        <f t="shared" si="14"/>
        <v>1103148268</v>
      </c>
      <c r="L120" s="155"/>
      <c r="M120" s="206">
        <f>K120/($K$203+'درآمد سرمایه گذاری در اوراق بها'!$I$11+'درآمد سپرده بانکی'!$E$11+'سایر درآمدها'!$C$11)</f>
        <v>2.8805805395305151E-3</v>
      </c>
      <c r="N120" s="226"/>
      <c r="O120" s="154">
        <v>0</v>
      </c>
      <c r="P120" s="154"/>
      <c r="Q120" s="154">
        <f t="shared" si="21"/>
        <v>3160856443</v>
      </c>
      <c r="R120" s="224"/>
      <c r="S120" s="154">
        <f t="shared" si="19"/>
        <v>262767237</v>
      </c>
      <c r="T120" s="224"/>
      <c r="U120" s="355">
        <f t="shared" si="15"/>
        <v>3423623680</v>
      </c>
      <c r="V120" s="222"/>
      <c r="W120" s="206">
        <f>U120/درآمدها!$E$11</f>
        <v>6.2452191259929112E-3</v>
      </c>
      <c r="Y120" s="162"/>
    </row>
    <row r="121" spans="1:25" s="60" customFormat="1" ht="42.75" customHeight="1">
      <c r="A121" s="142"/>
      <c r="B121" s="142" t="s">
        <v>507</v>
      </c>
      <c r="C121" s="153" t="s">
        <v>488</v>
      </c>
      <c r="D121" s="226"/>
      <c r="E121" s="154">
        <v>0</v>
      </c>
      <c r="F121" s="154"/>
      <c r="G121" s="154">
        <f t="shared" si="20"/>
        <v>2100730142</v>
      </c>
      <c r="H121" s="224"/>
      <c r="I121" s="154">
        <f t="shared" si="18"/>
        <v>11067878</v>
      </c>
      <c r="J121" s="225"/>
      <c r="K121" s="155">
        <f t="shared" si="14"/>
        <v>2111798020</v>
      </c>
      <c r="L121" s="155"/>
      <c r="M121" s="206">
        <f>K121/($K$203+'درآمد سرمایه گذاری در اوراق بها'!$I$11+'درآمد سپرده بانکی'!$E$11+'سایر درآمدها'!$C$11)</f>
        <v>5.5144031462424177E-3</v>
      </c>
      <c r="N121" s="226"/>
      <c r="O121" s="154">
        <v>0</v>
      </c>
      <c r="P121" s="154"/>
      <c r="Q121" s="154">
        <f t="shared" si="21"/>
        <v>2813822161</v>
      </c>
      <c r="R121" s="224"/>
      <c r="S121" s="154">
        <f t="shared" si="19"/>
        <v>103576001</v>
      </c>
      <c r="T121" s="224"/>
      <c r="U121" s="355">
        <f t="shared" si="15"/>
        <v>2917398162</v>
      </c>
      <c r="V121" s="222"/>
      <c r="W121" s="206">
        <f>U121/درآمدها!$E$11</f>
        <v>5.3217854829941376E-3</v>
      </c>
      <c r="Y121" s="162"/>
    </row>
    <row r="122" spans="1:25" s="60" customFormat="1" ht="42.75" customHeight="1">
      <c r="A122" s="142"/>
      <c r="B122" s="142" t="s">
        <v>508</v>
      </c>
      <c r="C122" s="153" t="s">
        <v>489</v>
      </c>
      <c r="D122" s="226"/>
      <c r="E122" s="154">
        <v>462583492</v>
      </c>
      <c r="F122" s="154"/>
      <c r="G122" s="154">
        <f t="shared" si="20"/>
        <v>719253070</v>
      </c>
      <c r="H122" s="224"/>
      <c r="I122" s="154">
        <f t="shared" si="18"/>
        <v>24274364</v>
      </c>
      <c r="J122" s="225"/>
      <c r="K122" s="155">
        <f t="shared" si="14"/>
        <v>1206110926</v>
      </c>
      <c r="L122" s="155"/>
      <c r="M122" s="206">
        <f>K122/($K$203+'درآمد سرمایه گذاری در اوراق بها'!$I$11+'درآمد سپرده بانکی'!$E$11+'سایر درآمدها'!$C$11)</f>
        <v>3.1494403451764559E-3</v>
      </c>
      <c r="N122" s="226"/>
      <c r="O122" s="154">
        <v>462583492</v>
      </c>
      <c r="P122" s="154"/>
      <c r="Q122" s="154">
        <f t="shared" si="21"/>
        <v>1190608431</v>
      </c>
      <c r="R122" s="224"/>
      <c r="S122" s="154">
        <f t="shared" si="19"/>
        <v>76452327</v>
      </c>
      <c r="T122" s="224"/>
      <c r="U122" s="355">
        <f t="shared" si="15"/>
        <v>1729644250</v>
      </c>
      <c r="V122" s="222"/>
      <c r="W122" s="206">
        <f>U122/درآمدها!$E$11</f>
        <v>3.1551386369846773E-3</v>
      </c>
      <c r="Y122" s="162"/>
    </row>
    <row r="123" spans="1:25" s="60" customFormat="1" ht="42.75" customHeight="1">
      <c r="A123" s="142"/>
      <c r="B123" s="142" t="s">
        <v>367</v>
      </c>
      <c r="C123" s="153" t="s">
        <v>218</v>
      </c>
      <c r="D123" s="226"/>
      <c r="E123" s="154">
        <v>0</v>
      </c>
      <c r="F123" s="154"/>
      <c r="G123" s="154">
        <f t="shared" si="20"/>
        <v>2466596415</v>
      </c>
      <c r="H123" s="224"/>
      <c r="I123" s="154">
        <f t="shared" si="18"/>
        <v>17682941</v>
      </c>
      <c r="J123" s="225"/>
      <c r="K123" s="155">
        <f t="shared" si="14"/>
        <v>2484279356</v>
      </c>
      <c r="L123" s="155"/>
      <c r="M123" s="206">
        <f>K123/($K$203+'درآمد سرمایه گذاری در اوراق بها'!$I$11+'درآمد سپرده بانکی'!$E$11+'سایر درآمدها'!$C$11)</f>
        <v>6.4870398433612923E-3</v>
      </c>
      <c r="N123" s="226"/>
      <c r="O123" s="154">
        <v>261228900</v>
      </c>
      <c r="P123" s="154"/>
      <c r="Q123" s="154">
        <f t="shared" si="21"/>
        <v>3337873910</v>
      </c>
      <c r="R123" s="224"/>
      <c r="S123" s="154">
        <f t="shared" si="19"/>
        <v>493013134</v>
      </c>
      <c r="T123" s="224"/>
      <c r="U123" s="355">
        <f t="shared" si="15"/>
        <v>4092115944</v>
      </c>
      <c r="V123" s="222"/>
      <c r="W123" s="206">
        <f>U123/درآمدها!$E$11</f>
        <v>7.4646524115785234E-3</v>
      </c>
      <c r="Y123" s="162"/>
    </row>
    <row r="124" spans="1:25" s="60" customFormat="1" ht="42.75" customHeight="1">
      <c r="A124" s="142"/>
      <c r="B124" s="142" t="s">
        <v>509</v>
      </c>
      <c r="C124" s="153" t="s">
        <v>490</v>
      </c>
      <c r="D124" s="226"/>
      <c r="E124" s="154">
        <v>0</v>
      </c>
      <c r="F124" s="154"/>
      <c r="G124" s="154">
        <f t="shared" si="20"/>
        <v>4151553030</v>
      </c>
      <c r="H124" s="224"/>
      <c r="I124" s="154">
        <f t="shared" si="18"/>
        <v>11433525</v>
      </c>
      <c r="J124" s="225"/>
      <c r="K124" s="155">
        <f t="shared" si="14"/>
        <v>4162986555</v>
      </c>
      <c r="L124" s="155"/>
      <c r="M124" s="206">
        <f>K124/($K$203+'درآمد سرمایه گذاری در اوراق بها'!$I$11+'درآمد سپرده بانکی'!$E$11+'سایر درآمدها'!$C$11)</f>
        <v>1.0870540619531827E-2</v>
      </c>
      <c r="N124" s="226"/>
      <c r="O124" s="154">
        <v>0</v>
      </c>
      <c r="P124" s="154"/>
      <c r="Q124" s="154">
        <f t="shared" si="21"/>
        <v>4947072989</v>
      </c>
      <c r="R124" s="224"/>
      <c r="S124" s="154">
        <f t="shared" si="19"/>
        <v>140033112</v>
      </c>
      <c r="T124" s="224"/>
      <c r="U124" s="355">
        <f t="shared" si="15"/>
        <v>5087106101</v>
      </c>
      <c r="V124" s="222"/>
      <c r="W124" s="206">
        <f>U124/درآمدها!$E$11</f>
        <v>9.2796683535967452E-3</v>
      </c>
      <c r="Y124" s="162"/>
    </row>
    <row r="125" spans="1:25" s="60" customFormat="1" ht="42.75" customHeight="1">
      <c r="A125" s="142"/>
      <c r="B125" s="142" t="s">
        <v>368</v>
      </c>
      <c r="C125" s="153" t="s">
        <v>256</v>
      </c>
      <c r="D125" s="226"/>
      <c r="E125" s="154">
        <v>0</v>
      </c>
      <c r="F125" s="154"/>
      <c r="G125" s="154">
        <f t="shared" si="20"/>
        <v>383410279</v>
      </c>
      <c r="H125" s="224"/>
      <c r="I125" s="154">
        <f t="shared" si="18"/>
        <v>4232411</v>
      </c>
      <c r="J125" s="225"/>
      <c r="K125" s="155">
        <f t="shared" si="14"/>
        <v>387642690</v>
      </c>
      <c r="L125" s="155"/>
      <c r="M125" s="206">
        <f>K125/($K$203+'درآمد سرمایه گذاری در اوراق بها'!$I$11+'درآمد سپرده بانکی'!$E$11+'سایر درآمدها'!$C$11)</f>
        <v>1.0122265714378662E-3</v>
      </c>
      <c r="N125" s="226"/>
      <c r="O125" s="154">
        <v>0</v>
      </c>
      <c r="P125" s="154"/>
      <c r="Q125" s="154">
        <f t="shared" si="21"/>
        <v>713378532</v>
      </c>
      <c r="R125" s="224"/>
      <c r="S125" s="154">
        <f t="shared" si="19"/>
        <v>41541901</v>
      </c>
      <c r="T125" s="224"/>
      <c r="U125" s="355">
        <f t="shared" si="15"/>
        <v>754920433</v>
      </c>
      <c r="V125" s="222"/>
      <c r="W125" s="206">
        <f>U125/درآمدها!$E$11</f>
        <v>1.377091633731909E-3</v>
      </c>
      <c r="Y125" s="162"/>
    </row>
    <row r="126" spans="1:25" s="60" customFormat="1" ht="42.75" customHeight="1">
      <c r="A126" s="142"/>
      <c r="B126" s="142" t="s">
        <v>369</v>
      </c>
      <c r="C126" s="153" t="s">
        <v>220</v>
      </c>
      <c r="D126" s="226"/>
      <c r="E126" s="154">
        <v>0</v>
      </c>
      <c r="F126" s="154"/>
      <c r="G126" s="154">
        <f t="shared" si="20"/>
        <v>683991674</v>
      </c>
      <c r="H126" s="224"/>
      <c r="I126" s="154">
        <f t="shared" si="18"/>
        <v>-9246029</v>
      </c>
      <c r="J126" s="225"/>
      <c r="K126" s="155">
        <f t="shared" si="14"/>
        <v>674745645</v>
      </c>
      <c r="L126" s="155"/>
      <c r="M126" s="206">
        <f>K126/($K$203+'درآمد سرمایه گذاری در اوراق بها'!$I$11+'درآمد سپرده بانکی'!$E$11+'سایر درآمدها'!$C$11)</f>
        <v>1.7619201611437107E-3</v>
      </c>
      <c r="N126" s="226"/>
      <c r="O126" s="154">
        <v>221539872</v>
      </c>
      <c r="P126" s="154"/>
      <c r="Q126" s="154">
        <f t="shared" si="21"/>
        <v>49011983</v>
      </c>
      <c r="R126" s="224"/>
      <c r="S126" s="154">
        <f t="shared" si="19"/>
        <v>-246423510</v>
      </c>
      <c r="T126" s="224"/>
      <c r="U126" s="355">
        <f t="shared" si="15"/>
        <v>24128345</v>
      </c>
      <c r="V126" s="222"/>
      <c r="W126" s="206">
        <f>U126/درآمدها!$E$11</f>
        <v>4.4013833223795041E-5</v>
      </c>
      <c r="Y126" s="162"/>
    </row>
    <row r="127" spans="1:25" s="60" customFormat="1" ht="42.75" customHeight="1">
      <c r="A127" s="142"/>
      <c r="B127" s="142" t="s">
        <v>467</v>
      </c>
      <c r="C127" s="153" t="s">
        <v>456</v>
      </c>
      <c r="D127" s="226"/>
      <c r="E127" s="154">
        <v>0</v>
      </c>
      <c r="F127" s="154"/>
      <c r="G127" s="154">
        <v>0</v>
      </c>
      <c r="H127" s="224"/>
      <c r="I127" s="154">
        <f t="shared" si="18"/>
        <v>0</v>
      </c>
      <c r="J127" s="225"/>
      <c r="K127" s="155">
        <f t="shared" si="14"/>
        <v>0</v>
      </c>
      <c r="L127" s="155"/>
      <c r="M127" s="206">
        <f>K127/($K$203+'درآمد سرمایه گذاری در اوراق بها'!$I$11+'درآمد سپرده بانکی'!$E$11+'سایر درآمدها'!$C$11)</f>
        <v>0</v>
      </c>
      <c r="N127" s="226"/>
      <c r="O127" s="154">
        <v>0</v>
      </c>
      <c r="P127" s="154"/>
      <c r="Q127" s="154">
        <v>0</v>
      </c>
      <c r="R127" s="224"/>
      <c r="S127" s="154">
        <f t="shared" si="19"/>
        <v>-21191661</v>
      </c>
      <c r="T127" s="224"/>
      <c r="U127" s="355">
        <f t="shared" si="15"/>
        <v>-21191661</v>
      </c>
      <c r="V127" s="222"/>
      <c r="W127" s="206">
        <f>U127/درآمدها!$E$11</f>
        <v>-3.8656867389338209E-5</v>
      </c>
      <c r="Y127" s="162"/>
    </row>
    <row r="128" spans="1:25" s="60" customFormat="1" ht="42.75" customHeight="1">
      <c r="A128" s="142"/>
      <c r="B128" s="142" t="s">
        <v>370</v>
      </c>
      <c r="C128" s="153" t="s">
        <v>198</v>
      </c>
      <c r="D128" s="226"/>
      <c r="E128" s="154">
        <v>0</v>
      </c>
      <c r="F128" s="154"/>
      <c r="G128" s="154">
        <f t="shared" ref="G128:G146" si="22">VLOOKUP(B128,a,10,0)</f>
        <v>8479632503</v>
      </c>
      <c r="H128" s="224"/>
      <c r="I128" s="154">
        <f t="shared" si="18"/>
        <v>785548946</v>
      </c>
      <c r="J128" s="225"/>
      <c r="K128" s="155">
        <f t="shared" si="14"/>
        <v>9265181449</v>
      </c>
      <c r="L128" s="155"/>
      <c r="M128" s="206">
        <f>K128/($K$203+'درآمد سرمایه گذاری در اوراق بها'!$I$11+'درآمد سپرده بانکی'!$E$11+'سایر درآمدها'!$C$11)</f>
        <v>2.4193575923928786E-2</v>
      </c>
      <c r="N128" s="226"/>
      <c r="O128" s="154">
        <v>0</v>
      </c>
      <c r="P128" s="154"/>
      <c r="Q128" s="154">
        <f t="shared" ref="Q128:Q146" si="23">VLOOKUP(B128,a,18,0)</f>
        <v>11136102637</v>
      </c>
      <c r="R128" s="224"/>
      <c r="S128" s="154">
        <f t="shared" si="19"/>
        <v>1029182059</v>
      </c>
      <c r="T128" s="224"/>
      <c r="U128" s="355">
        <f t="shared" si="15"/>
        <v>12165284696</v>
      </c>
      <c r="V128" s="222"/>
      <c r="W128" s="206">
        <f>U128/درآمدها!$E$11</f>
        <v>2.2191360896477986E-2</v>
      </c>
      <c r="Y128" s="162"/>
    </row>
    <row r="129" spans="1:25" s="60" customFormat="1" ht="42.75" customHeight="1">
      <c r="A129" s="142"/>
      <c r="B129" s="142" t="s">
        <v>371</v>
      </c>
      <c r="C129" s="153" t="s">
        <v>164</v>
      </c>
      <c r="D129" s="226"/>
      <c r="E129" s="154">
        <v>0</v>
      </c>
      <c r="F129" s="154"/>
      <c r="G129" s="154">
        <f t="shared" si="22"/>
        <v>237883535</v>
      </c>
      <c r="H129" s="224"/>
      <c r="I129" s="154">
        <f t="shared" si="18"/>
        <v>13317562</v>
      </c>
      <c r="J129" s="225"/>
      <c r="K129" s="155">
        <f t="shared" si="14"/>
        <v>251201097</v>
      </c>
      <c r="L129" s="155"/>
      <c r="M129" s="206">
        <f>K129/($K$203+'درآمد سرمایه گذاری در اوراق بها'!$I$11+'درآمد سپرده بانکی'!$E$11+'سایر درآمدها'!$C$11)</f>
        <v>6.5594536339055127E-4</v>
      </c>
      <c r="N129" s="226"/>
      <c r="O129" s="154">
        <v>796637700</v>
      </c>
      <c r="P129" s="154"/>
      <c r="Q129" s="154">
        <f t="shared" si="23"/>
        <v>727912470</v>
      </c>
      <c r="R129" s="224"/>
      <c r="S129" s="154">
        <f t="shared" si="19"/>
        <v>-77148394</v>
      </c>
      <c r="T129" s="224"/>
      <c r="U129" s="355">
        <f t="shared" si="15"/>
        <v>1447401776</v>
      </c>
      <c r="V129" s="222"/>
      <c r="W129" s="206">
        <f>U129/درآمدها!$E$11</f>
        <v>2.6402847098169701E-3</v>
      </c>
      <c r="Y129" s="162"/>
    </row>
    <row r="130" spans="1:25" s="60" customFormat="1" ht="42.75" customHeight="1">
      <c r="A130" s="142"/>
      <c r="B130" s="142" t="s">
        <v>372</v>
      </c>
      <c r="C130" s="153" t="s">
        <v>169</v>
      </c>
      <c r="D130" s="226"/>
      <c r="E130" s="154">
        <v>0</v>
      </c>
      <c r="F130" s="154"/>
      <c r="G130" s="154">
        <f t="shared" si="22"/>
        <v>4611416083</v>
      </c>
      <c r="H130" s="224"/>
      <c r="I130" s="154">
        <f t="shared" si="18"/>
        <v>62382770</v>
      </c>
      <c r="J130" s="225"/>
      <c r="K130" s="155">
        <f t="shared" si="14"/>
        <v>4673798853</v>
      </c>
      <c r="L130" s="155"/>
      <c r="M130" s="206">
        <f>K130/($K$203+'درآمد سرمایه گذاری در اوراق بها'!$I$11+'درآمد سپرده بانکی'!$E$11+'سایر درآمدها'!$C$11)</f>
        <v>1.2204392113165919E-2</v>
      </c>
      <c r="N130" s="226"/>
      <c r="O130" s="154">
        <v>140897504</v>
      </c>
      <c r="P130" s="154"/>
      <c r="Q130" s="154">
        <f t="shared" si="23"/>
        <v>6232188592</v>
      </c>
      <c r="R130" s="224"/>
      <c r="S130" s="154">
        <f t="shared" si="19"/>
        <v>192207959</v>
      </c>
      <c r="T130" s="224"/>
      <c r="U130" s="355">
        <f t="shared" si="15"/>
        <v>6565294055</v>
      </c>
      <c r="V130" s="222"/>
      <c r="W130" s="206">
        <f>U130/درآمدها!$E$11</f>
        <v>1.1976111813800037E-2</v>
      </c>
      <c r="Y130" s="162"/>
    </row>
    <row r="131" spans="1:25" s="60" customFormat="1" ht="42.75" customHeight="1">
      <c r="A131" s="142"/>
      <c r="B131" s="142" t="s">
        <v>373</v>
      </c>
      <c r="C131" s="153" t="s">
        <v>145</v>
      </c>
      <c r="D131" s="226"/>
      <c r="E131" s="154">
        <v>0</v>
      </c>
      <c r="F131" s="154"/>
      <c r="G131" s="154">
        <f t="shared" si="22"/>
        <v>1122743096</v>
      </c>
      <c r="H131" s="224"/>
      <c r="I131" s="154">
        <f t="shared" si="18"/>
        <v>-876404</v>
      </c>
      <c r="J131" s="225"/>
      <c r="K131" s="155">
        <f t="shared" si="14"/>
        <v>1121866692</v>
      </c>
      <c r="L131" s="155"/>
      <c r="M131" s="206">
        <f>K131/($K$203+'درآمد سرمایه گذاری در اوراق بها'!$I$11+'درآمد سپرده بانکی'!$E$11+'سایر درآمدها'!$C$11)</f>
        <v>2.9294587633098422E-3</v>
      </c>
      <c r="N131" s="226"/>
      <c r="O131" s="154">
        <v>0</v>
      </c>
      <c r="P131" s="154"/>
      <c r="Q131" s="154">
        <f t="shared" si="23"/>
        <v>1353310729</v>
      </c>
      <c r="R131" s="224"/>
      <c r="S131" s="154">
        <f t="shared" si="19"/>
        <v>-182574378</v>
      </c>
      <c r="T131" s="224"/>
      <c r="U131" s="355">
        <f t="shared" si="15"/>
        <v>1170736351</v>
      </c>
      <c r="V131" s="222"/>
      <c r="W131" s="206">
        <f>U131/درآمدها!$E$11</f>
        <v>2.1356041826303615E-3</v>
      </c>
      <c r="Y131" s="162"/>
    </row>
    <row r="132" spans="1:25" s="60" customFormat="1" ht="42.75" customHeight="1">
      <c r="A132" s="142"/>
      <c r="B132" s="142" t="s">
        <v>374</v>
      </c>
      <c r="C132" s="153" t="s">
        <v>211</v>
      </c>
      <c r="D132" s="226"/>
      <c r="E132" s="154">
        <v>0</v>
      </c>
      <c r="F132" s="154"/>
      <c r="G132" s="154">
        <f t="shared" si="22"/>
        <v>682534386</v>
      </c>
      <c r="H132" s="224"/>
      <c r="I132" s="154">
        <f t="shared" si="18"/>
        <v>-3270465</v>
      </c>
      <c r="J132" s="225"/>
      <c r="K132" s="155">
        <f t="shared" si="14"/>
        <v>679263921</v>
      </c>
      <c r="L132" s="155"/>
      <c r="M132" s="206">
        <f>K132/($K$203+'درآمد سرمایه گذاری در اوراق بها'!$I$11+'درآمد سپرده بانکی'!$E$11+'سایر درآمدها'!$C$11)</f>
        <v>1.7737184463746021E-3</v>
      </c>
      <c r="N132" s="226"/>
      <c r="O132" s="154">
        <v>27637200</v>
      </c>
      <c r="P132" s="154"/>
      <c r="Q132" s="154">
        <f t="shared" si="23"/>
        <v>377115798</v>
      </c>
      <c r="R132" s="224"/>
      <c r="S132" s="154">
        <f t="shared" si="19"/>
        <v>-55905636</v>
      </c>
      <c r="T132" s="224"/>
      <c r="U132" s="355">
        <f t="shared" si="15"/>
        <v>348847362</v>
      </c>
      <c r="V132" s="222"/>
      <c r="W132" s="206">
        <f>U132/درآمدها!$E$11</f>
        <v>6.3635154469271948E-4</v>
      </c>
      <c r="Y132" s="162"/>
    </row>
    <row r="133" spans="1:25" s="60" customFormat="1" ht="42.75" customHeight="1">
      <c r="A133" s="142"/>
      <c r="B133" s="142" t="s">
        <v>375</v>
      </c>
      <c r="C133" s="153" t="s">
        <v>124</v>
      </c>
      <c r="D133" s="226"/>
      <c r="E133" s="154">
        <v>0</v>
      </c>
      <c r="F133" s="154"/>
      <c r="G133" s="154">
        <f t="shared" si="22"/>
        <v>793590746</v>
      </c>
      <c r="H133" s="224"/>
      <c r="I133" s="154">
        <f t="shared" si="18"/>
        <v>3892610</v>
      </c>
      <c r="J133" s="225"/>
      <c r="K133" s="155">
        <f t="shared" si="14"/>
        <v>797483356</v>
      </c>
      <c r="L133" s="155"/>
      <c r="M133" s="206">
        <f>K133/($K$203+'درآمد سرمایه گذاری در اوراق بها'!$I$11+'درآمد سپرده بانکی'!$E$11+'سایر درآمدها'!$C$11)</f>
        <v>2.0824172983183128E-3</v>
      </c>
      <c r="N133" s="226"/>
      <c r="O133" s="154">
        <v>217167060</v>
      </c>
      <c r="P133" s="154"/>
      <c r="Q133" s="154">
        <f t="shared" si="23"/>
        <v>1127116230</v>
      </c>
      <c r="R133" s="224"/>
      <c r="S133" s="154">
        <f t="shared" si="19"/>
        <v>28294592</v>
      </c>
      <c r="T133" s="224"/>
      <c r="U133" s="355">
        <f t="shared" si="15"/>
        <v>1372577882</v>
      </c>
      <c r="V133" s="222"/>
      <c r="W133" s="206">
        <f>U133/درآمدها!$E$11</f>
        <v>2.5037943541099824E-3</v>
      </c>
      <c r="Y133" s="162"/>
    </row>
    <row r="134" spans="1:25" s="60" customFormat="1" ht="42.75" customHeight="1">
      <c r="A134" s="142"/>
      <c r="B134" s="142" t="s">
        <v>376</v>
      </c>
      <c r="C134" s="153" t="s">
        <v>105</v>
      </c>
      <c r="D134" s="226"/>
      <c r="E134" s="154">
        <v>0</v>
      </c>
      <c r="F134" s="154"/>
      <c r="G134" s="154">
        <f t="shared" si="22"/>
        <v>1223869009</v>
      </c>
      <c r="H134" s="224"/>
      <c r="I134" s="154">
        <f t="shared" si="18"/>
        <v>3320993</v>
      </c>
      <c r="J134" s="225"/>
      <c r="K134" s="155">
        <f t="shared" si="14"/>
        <v>1227190002</v>
      </c>
      <c r="L134" s="155"/>
      <c r="M134" s="206">
        <f>K134/($K$203+'درآمد سرمایه گذاری در اوراق بها'!$I$11+'درآمد سپرده بانکی'!$E$11+'سایر درآمدها'!$C$11)</f>
        <v>3.2044827885888629E-3</v>
      </c>
      <c r="N134" s="226"/>
      <c r="O134" s="154">
        <v>0</v>
      </c>
      <c r="P134" s="154"/>
      <c r="Q134" s="154">
        <f t="shared" si="23"/>
        <v>1422076015</v>
      </c>
      <c r="R134" s="224"/>
      <c r="S134" s="154">
        <f t="shared" si="19"/>
        <v>43459493</v>
      </c>
      <c r="T134" s="224"/>
      <c r="U134" s="355">
        <f t="shared" si="15"/>
        <v>1465535508</v>
      </c>
      <c r="V134" s="222"/>
      <c r="W134" s="206">
        <f>U134/درآمدها!$E$11</f>
        <v>2.6733634417388237E-3</v>
      </c>
      <c r="Y134" s="162"/>
    </row>
    <row r="135" spans="1:25" s="60" customFormat="1" ht="42.75" customHeight="1">
      <c r="A135" s="142"/>
      <c r="B135" s="142" t="s">
        <v>377</v>
      </c>
      <c r="C135" s="153" t="s">
        <v>153</v>
      </c>
      <c r="D135" s="226"/>
      <c r="E135" s="154">
        <v>0</v>
      </c>
      <c r="F135" s="154"/>
      <c r="G135" s="154">
        <f t="shared" si="22"/>
        <v>486949033</v>
      </c>
      <c r="H135" s="224"/>
      <c r="I135" s="154">
        <f t="shared" si="18"/>
        <v>-11260465</v>
      </c>
      <c r="J135" s="225"/>
      <c r="K135" s="155">
        <f t="shared" si="14"/>
        <v>475688568</v>
      </c>
      <c r="L135" s="155"/>
      <c r="M135" s="206">
        <f>K135/($K$203+'درآمد سرمایه گذاری در اوراق بها'!$I$11+'درآمد سپرده بانکی'!$E$11+'سایر درآمدها'!$C$11)</f>
        <v>1.2421351432135306E-3</v>
      </c>
      <c r="N135" s="226"/>
      <c r="O135" s="154">
        <v>710100000</v>
      </c>
      <c r="P135" s="154"/>
      <c r="Q135" s="154">
        <f t="shared" si="23"/>
        <v>-491918540</v>
      </c>
      <c r="R135" s="224"/>
      <c r="S135" s="154">
        <f t="shared" si="19"/>
        <v>-584703692</v>
      </c>
      <c r="T135" s="224"/>
      <c r="U135" s="355">
        <f t="shared" si="15"/>
        <v>-366522232</v>
      </c>
      <c r="V135" s="222"/>
      <c r="W135" s="206">
        <f>U135/درآمدها!$E$11</f>
        <v>-6.6859324135414651E-4</v>
      </c>
      <c r="Y135" s="162"/>
    </row>
    <row r="136" spans="1:25" s="60" customFormat="1" ht="42.75" customHeight="1">
      <c r="A136" s="142"/>
      <c r="B136" s="142" t="s">
        <v>378</v>
      </c>
      <c r="C136" s="153" t="s">
        <v>98</v>
      </c>
      <c r="D136" s="226"/>
      <c r="E136" s="154">
        <v>0</v>
      </c>
      <c r="F136" s="154"/>
      <c r="G136" s="154">
        <f t="shared" si="22"/>
        <v>1105213017</v>
      </c>
      <c r="H136" s="224"/>
      <c r="I136" s="154">
        <f t="shared" si="18"/>
        <v>5805947</v>
      </c>
      <c r="J136" s="225"/>
      <c r="K136" s="155">
        <f t="shared" si="14"/>
        <v>1111018964</v>
      </c>
      <c r="L136" s="155"/>
      <c r="M136" s="206">
        <f>K136/($K$203+'درآمد سرمایه گذاری در اوراق بها'!$I$11+'درآمد سپرده بانکی'!$E$11+'سایر درآمدها'!$C$11)</f>
        <v>2.9011327847615802E-3</v>
      </c>
      <c r="N136" s="226"/>
      <c r="O136" s="154">
        <v>2138603550</v>
      </c>
      <c r="P136" s="154"/>
      <c r="Q136" s="154">
        <f t="shared" si="23"/>
        <v>279146907</v>
      </c>
      <c r="R136" s="224"/>
      <c r="S136" s="154">
        <f t="shared" si="19"/>
        <v>-127304865</v>
      </c>
      <c r="T136" s="224"/>
      <c r="U136" s="355">
        <f t="shared" si="15"/>
        <v>2290445592</v>
      </c>
      <c r="V136" s="222"/>
      <c r="W136" s="206">
        <f>U136/درآمدها!$E$11</f>
        <v>4.1781270242308164E-3</v>
      </c>
      <c r="Y136" s="162"/>
    </row>
    <row r="137" spans="1:25" s="60" customFormat="1" ht="42.75" customHeight="1">
      <c r="A137" s="142"/>
      <c r="B137" s="142" t="s">
        <v>379</v>
      </c>
      <c r="C137" s="153" t="s">
        <v>229</v>
      </c>
      <c r="D137" s="226"/>
      <c r="E137" s="154">
        <v>0</v>
      </c>
      <c r="F137" s="154"/>
      <c r="G137" s="154">
        <f t="shared" si="22"/>
        <v>825749144</v>
      </c>
      <c r="H137" s="224"/>
      <c r="I137" s="154">
        <f t="shared" si="18"/>
        <v>-9213433</v>
      </c>
      <c r="J137" s="225"/>
      <c r="K137" s="155">
        <f t="shared" si="14"/>
        <v>816535711</v>
      </c>
      <c r="L137" s="155"/>
      <c r="M137" s="206">
        <f>K137/($K$203+'درآمد سرمایه گذاری در اوراق بها'!$I$11+'درآمد سپرده بانکی'!$E$11+'سایر درآمدها'!$C$11)</f>
        <v>2.1321674947671794E-3</v>
      </c>
      <c r="N137" s="226"/>
      <c r="O137" s="154">
        <v>0</v>
      </c>
      <c r="P137" s="154"/>
      <c r="Q137" s="154">
        <f t="shared" si="23"/>
        <v>181408504</v>
      </c>
      <c r="R137" s="224"/>
      <c r="S137" s="154">
        <f t="shared" si="19"/>
        <v>-198070495</v>
      </c>
      <c r="T137" s="224"/>
      <c r="U137" s="355">
        <f t="shared" si="15"/>
        <v>-16661991</v>
      </c>
      <c r="V137" s="222"/>
      <c r="W137" s="206">
        <f>U137/درآمدها!$E$11</f>
        <v>-3.039404870290001E-5</v>
      </c>
      <c r="Y137" s="162"/>
    </row>
    <row r="138" spans="1:25" s="60" customFormat="1" ht="42.75" customHeight="1">
      <c r="A138" s="142"/>
      <c r="B138" s="142" t="s">
        <v>380</v>
      </c>
      <c r="C138" s="153" t="s">
        <v>102</v>
      </c>
      <c r="D138" s="226"/>
      <c r="E138" s="154">
        <v>0</v>
      </c>
      <c r="F138" s="154"/>
      <c r="G138" s="154">
        <f t="shared" si="22"/>
        <v>2161780512</v>
      </c>
      <c r="H138" s="224"/>
      <c r="I138" s="154">
        <f t="shared" si="18"/>
        <v>6770844</v>
      </c>
      <c r="J138" s="225"/>
      <c r="K138" s="155">
        <f t="shared" si="14"/>
        <v>2168551356</v>
      </c>
      <c r="L138" s="155"/>
      <c r="M138" s="206">
        <f>K138/($K$203+'درآمد سرمایه گذاری در اوراق بها'!$I$11+'درآمد سپرده بانکی'!$E$11+'سایر درآمدها'!$C$11)</f>
        <v>5.662599503864797E-3</v>
      </c>
      <c r="N138" s="226"/>
      <c r="O138" s="154">
        <v>0</v>
      </c>
      <c r="P138" s="154"/>
      <c r="Q138" s="154">
        <f t="shared" si="23"/>
        <v>2415713592</v>
      </c>
      <c r="R138" s="224"/>
      <c r="S138" s="154">
        <f t="shared" si="19"/>
        <v>20193535</v>
      </c>
      <c r="T138" s="224"/>
      <c r="U138" s="355">
        <f t="shared" si="15"/>
        <v>2435907127</v>
      </c>
      <c r="V138" s="222"/>
      <c r="W138" s="206">
        <f>U138/درآمدها!$E$11</f>
        <v>4.4434713626828413E-3</v>
      </c>
      <c r="Y138" s="162"/>
    </row>
    <row r="139" spans="1:25" s="60" customFormat="1" ht="42.75" customHeight="1">
      <c r="A139" s="142"/>
      <c r="B139" s="142" t="s">
        <v>381</v>
      </c>
      <c r="C139" s="153" t="s">
        <v>100</v>
      </c>
      <c r="D139" s="226"/>
      <c r="E139" s="154">
        <v>0</v>
      </c>
      <c r="F139" s="154"/>
      <c r="G139" s="154">
        <f t="shared" si="22"/>
        <v>1387715001</v>
      </c>
      <c r="H139" s="224"/>
      <c r="I139" s="154">
        <f t="shared" si="18"/>
        <v>-8033270</v>
      </c>
      <c r="J139" s="225"/>
      <c r="K139" s="155">
        <f t="shared" si="14"/>
        <v>1379681731</v>
      </c>
      <c r="L139" s="155"/>
      <c r="M139" s="206">
        <f>K139/($K$203+'درآمد سرمایه گذاری در اوراق بها'!$I$11+'درآمد سپرده بانکی'!$E$11+'سایر درآمدها'!$C$11)</f>
        <v>3.6026746905651447E-3</v>
      </c>
      <c r="N139" s="226"/>
      <c r="O139" s="154">
        <v>0</v>
      </c>
      <c r="P139" s="154"/>
      <c r="Q139" s="154">
        <f t="shared" si="23"/>
        <v>783961029</v>
      </c>
      <c r="R139" s="224"/>
      <c r="S139" s="154">
        <f t="shared" si="19"/>
        <v>-187688299</v>
      </c>
      <c r="T139" s="224"/>
      <c r="U139" s="355">
        <f t="shared" si="15"/>
        <v>596272730</v>
      </c>
      <c r="V139" s="222"/>
      <c r="W139" s="206">
        <f>U139/درآمدها!$E$11</f>
        <v>1.087693685336353E-3</v>
      </c>
      <c r="Y139" s="162"/>
    </row>
    <row r="140" spans="1:25" s="60" customFormat="1" ht="42.75" customHeight="1">
      <c r="A140" s="142"/>
      <c r="B140" s="142" t="s">
        <v>382</v>
      </c>
      <c r="C140" s="153" t="s">
        <v>152</v>
      </c>
      <c r="D140" s="226"/>
      <c r="E140" s="154">
        <v>0</v>
      </c>
      <c r="F140" s="154"/>
      <c r="G140" s="154">
        <f t="shared" si="22"/>
        <v>2377191818</v>
      </c>
      <c r="H140" s="224"/>
      <c r="I140" s="154">
        <f t="shared" si="18"/>
        <v>-11858318</v>
      </c>
      <c r="J140" s="225"/>
      <c r="K140" s="155">
        <f t="shared" ref="K140:K201" si="24">E140+G140+I140</f>
        <v>2365333500</v>
      </c>
      <c r="L140" s="155"/>
      <c r="M140" s="206">
        <f>K140/($K$203+'درآمد سرمایه گذاری در اوراق بها'!$I$11+'درآمد سپرده بانکی'!$E$11+'سایر درآمدها'!$C$11)</f>
        <v>6.1764441347059267E-3</v>
      </c>
      <c r="N140" s="226"/>
      <c r="O140" s="154">
        <v>958411300</v>
      </c>
      <c r="P140" s="154"/>
      <c r="Q140" s="154">
        <f t="shared" si="23"/>
        <v>1591034835</v>
      </c>
      <c r="R140" s="224"/>
      <c r="S140" s="154">
        <f t="shared" si="19"/>
        <v>-300251086</v>
      </c>
      <c r="T140" s="224"/>
      <c r="U140" s="355">
        <f t="shared" ref="U140:U202" si="25">O140+Q140+S140</f>
        <v>2249195049</v>
      </c>
      <c r="V140" s="222"/>
      <c r="W140" s="206">
        <f>U140/درآمدها!$E$11</f>
        <v>4.102879653555663E-3</v>
      </c>
      <c r="Y140" s="162"/>
    </row>
    <row r="141" spans="1:25" s="60" customFormat="1" ht="42.75" customHeight="1">
      <c r="A141" s="142"/>
      <c r="B141" s="142" t="s">
        <v>383</v>
      </c>
      <c r="C141" s="153" t="s">
        <v>163</v>
      </c>
      <c r="D141" s="226"/>
      <c r="E141" s="154">
        <v>0</v>
      </c>
      <c r="F141" s="154"/>
      <c r="G141" s="154">
        <f t="shared" si="22"/>
        <v>42818296</v>
      </c>
      <c r="H141" s="224"/>
      <c r="I141" s="154">
        <f t="shared" si="18"/>
        <v>7463745</v>
      </c>
      <c r="J141" s="225"/>
      <c r="K141" s="155">
        <f t="shared" si="24"/>
        <v>50282041</v>
      </c>
      <c r="L141" s="155"/>
      <c r="M141" s="206">
        <f>K141/($K$203+'درآمد سرمایه گذاری در اوراق بها'!$I$11+'درآمد سپرده بانکی'!$E$11+'سایر درآمدها'!$C$11)</f>
        <v>1.3129827874821582E-4</v>
      </c>
      <c r="N141" s="226"/>
      <c r="O141" s="154">
        <v>42142000</v>
      </c>
      <c r="P141" s="154"/>
      <c r="Q141" s="154">
        <f t="shared" si="23"/>
        <v>626881398</v>
      </c>
      <c r="R141" s="224"/>
      <c r="S141" s="154">
        <f t="shared" si="19"/>
        <v>272266475</v>
      </c>
      <c r="T141" s="224"/>
      <c r="U141" s="355">
        <f t="shared" si="25"/>
        <v>941289873</v>
      </c>
      <c r="V141" s="222"/>
      <c r="W141" s="206">
        <f>U141/درآمدها!$E$11</f>
        <v>1.717058318151088E-3</v>
      </c>
      <c r="Y141" s="162"/>
    </row>
    <row r="142" spans="1:25" s="60" customFormat="1" ht="42.75" customHeight="1">
      <c r="A142" s="142"/>
      <c r="B142" s="142" t="s">
        <v>384</v>
      </c>
      <c r="C142" s="153" t="s">
        <v>262</v>
      </c>
      <c r="D142" s="226"/>
      <c r="E142" s="154">
        <v>0</v>
      </c>
      <c r="F142" s="154"/>
      <c r="G142" s="154">
        <f t="shared" si="22"/>
        <v>-2672297819</v>
      </c>
      <c r="H142" s="224"/>
      <c r="I142" s="154">
        <f t="shared" si="18"/>
        <v>1136675954</v>
      </c>
      <c r="J142" s="225"/>
      <c r="K142" s="155">
        <f t="shared" si="24"/>
        <v>-1535621865</v>
      </c>
      <c r="L142" s="155"/>
      <c r="M142" s="206">
        <f>K142/($K$203+'درآمد سرمایه گذاری در اوراق بها'!$I$11+'درآمد سپرده بانکی'!$E$11+'سایر درآمدها'!$C$11)</f>
        <v>-4.0098711920350458E-3</v>
      </c>
      <c r="N142" s="226"/>
      <c r="O142" s="154">
        <v>0</v>
      </c>
      <c r="P142" s="154"/>
      <c r="Q142" s="154">
        <f t="shared" si="23"/>
        <v>5781498841</v>
      </c>
      <c r="R142" s="224"/>
      <c r="S142" s="154">
        <f t="shared" si="19"/>
        <v>5327035344</v>
      </c>
      <c r="T142" s="224"/>
      <c r="U142" s="355">
        <f t="shared" si="25"/>
        <v>11108534185</v>
      </c>
      <c r="V142" s="222"/>
      <c r="W142" s="206">
        <f>U142/درآمدها!$E$11</f>
        <v>2.0263684516257371E-2</v>
      </c>
      <c r="Y142" s="162"/>
    </row>
    <row r="143" spans="1:25" s="60" customFormat="1" ht="42.75" customHeight="1">
      <c r="A143" s="142"/>
      <c r="B143" s="142" t="s">
        <v>385</v>
      </c>
      <c r="C143" s="153" t="s">
        <v>201</v>
      </c>
      <c r="D143" s="226"/>
      <c r="E143" s="154">
        <v>0</v>
      </c>
      <c r="F143" s="154"/>
      <c r="G143" s="154">
        <f t="shared" si="22"/>
        <v>6922286683</v>
      </c>
      <c r="H143" s="224"/>
      <c r="I143" s="154">
        <f t="shared" si="18"/>
        <v>97846548</v>
      </c>
      <c r="J143" s="225"/>
      <c r="K143" s="155">
        <f t="shared" si="24"/>
        <v>7020133231</v>
      </c>
      <c r="L143" s="155"/>
      <c r="M143" s="206">
        <f>K143/($K$203+'درآمد سرمایه گذاری در اوراق بها'!$I$11+'درآمد سپرده بانکی'!$E$11+'سایر درآمدها'!$C$11)</f>
        <v>1.8331225055352285E-2</v>
      </c>
      <c r="N143" s="226"/>
      <c r="O143" s="154"/>
      <c r="P143" s="154"/>
      <c r="Q143" s="154">
        <f t="shared" si="23"/>
        <v>8417739756</v>
      </c>
      <c r="R143" s="224"/>
      <c r="S143" s="154">
        <f t="shared" si="19"/>
        <v>6967845</v>
      </c>
      <c r="T143" s="224"/>
      <c r="U143" s="355">
        <f t="shared" si="25"/>
        <v>8424707601</v>
      </c>
      <c r="V143" s="222"/>
      <c r="W143" s="206">
        <f>U143/درآمدها!$E$11</f>
        <v>1.5367969718173891E-2</v>
      </c>
      <c r="Y143" s="162"/>
    </row>
    <row r="144" spans="1:25" s="60" customFormat="1" ht="42.75" customHeight="1">
      <c r="A144" s="142"/>
      <c r="B144" s="142" t="s">
        <v>386</v>
      </c>
      <c r="C144" s="153" t="s">
        <v>208</v>
      </c>
      <c r="D144" s="226"/>
      <c r="E144" s="154">
        <v>0</v>
      </c>
      <c r="F144" s="154"/>
      <c r="G144" s="154">
        <f t="shared" si="22"/>
        <v>3728173087</v>
      </c>
      <c r="H144" s="224"/>
      <c r="I144" s="154">
        <f t="shared" si="18"/>
        <v>-6836544</v>
      </c>
      <c r="J144" s="225"/>
      <c r="K144" s="155">
        <f t="shared" si="24"/>
        <v>3721336543</v>
      </c>
      <c r="L144" s="155"/>
      <c r="M144" s="206">
        <f>K144/($K$203+'درآمد سرمایه گذاری در اوراق بها'!$I$11+'درآمد سپرده بانکی'!$E$11+'سایر درآمدها'!$C$11)</f>
        <v>9.717288181256124E-3</v>
      </c>
      <c r="N144" s="226"/>
      <c r="O144" s="154">
        <v>0</v>
      </c>
      <c r="P144" s="154"/>
      <c r="Q144" s="154">
        <f t="shared" si="23"/>
        <v>2883639692</v>
      </c>
      <c r="R144" s="224"/>
      <c r="S144" s="154">
        <f t="shared" si="19"/>
        <v>-424133892</v>
      </c>
      <c r="T144" s="224"/>
      <c r="U144" s="355">
        <f t="shared" si="25"/>
        <v>2459505800</v>
      </c>
      <c r="V144" s="222"/>
      <c r="W144" s="206">
        <f>U144/درآمدها!$E$11</f>
        <v>4.48651899225399E-3</v>
      </c>
      <c r="Y144" s="162"/>
    </row>
    <row r="145" spans="1:25" s="60" customFormat="1" ht="42.75" customHeight="1">
      <c r="A145" s="142"/>
      <c r="B145" s="142" t="s">
        <v>387</v>
      </c>
      <c r="C145" s="153" t="s">
        <v>101</v>
      </c>
      <c r="D145" s="226"/>
      <c r="E145" s="154">
        <v>0</v>
      </c>
      <c r="F145" s="154"/>
      <c r="G145" s="154">
        <f t="shared" si="22"/>
        <v>5633357011</v>
      </c>
      <c r="H145" s="224"/>
      <c r="I145" s="154">
        <f t="shared" ref="I145:I176" si="26">VLOOKUP(B145,b,10,0)</f>
        <v>8222263</v>
      </c>
      <c r="J145" s="225"/>
      <c r="K145" s="155">
        <f t="shared" si="24"/>
        <v>5641579274</v>
      </c>
      <c r="L145" s="155"/>
      <c r="M145" s="206">
        <f>K145/($K$203+'درآمد سرمایه گذاری در اوراق بها'!$I$11+'درآمد سپرده بانکی'!$E$11+'سایر درآمدها'!$C$11)</f>
        <v>1.4731495248926132E-2</v>
      </c>
      <c r="N145" s="226"/>
      <c r="O145" s="154">
        <v>89103885</v>
      </c>
      <c r="P145" s="154"/>
      <c r="Q145" s="154">
        <f t="shared" si="23"/>
        <v>4990736146</v>
      </c>
      <c r="R145" s="224"/>
      <c r="S145" s="154">
        <f t="shared" ref="S145:S176" si="27">VLOOKUP(B145,b,18,0)</f>
        <v>-66052320</v>
      </c>
      <c r="T145" s="224"/>
      <c r="U145" s="355">
        <f t="shared" si="25"/>
        <v>5013787711</v>
      </c>
      <c r="V145" s="222"/>
      <c r="W145" s="206">
        <f>U145/درآمدها!$E$11</f>
        <v>9.1459242700428506E-3</v>
      </c>
      <c r="Y145" s="162"/>
    </row>
    <row r="146" spans="1:25" s="60" customFormat="1" ht="42.75" customHeight="1">
      <c r="A146" s="142"/>
      <c r="B146" s="142" t="s">
        <v>388</v>
      </c>
      <c r="C146" s="153" t="s">
        <v>119</v>
      </c>
      <c r="D146" s="226"/>
      <c r="E146" s="154">
        <v>0</v>
      </c>
      <c r="F146" s="154"/>
      <c r="G146" s="154">
        <f t="shared" si="22"/>
        <v>6761445486</v>
      </c>
      <c r="H146" s="224"/>
      <c r="I146" s="154">
        <f t="shared" si="26"/>
        <v>183719187</v>
      </c>
      <c r="J146" s="225"/>
      <c r="K146" s="155">
        <f t="shared" si="24"/>
        <v>6945164673</v>
      </c>
      <c r="L146" s="155"/>
      <c r="M146" s="206">
        <f>K146/($K$203+'درآمد سرمایه گذاری در اوراق بها'!$I$11+'درآمد سپرده بانکی'!$E$11+'سایر درآمدها'!$C$11)</f>
        <v>1.8135464453159632E-2</v>
      </c>
      <c r="N146" s="226"/>
      <c r="O146" s="154">
        <v>1264760320</v>
      </c>
      <c r="P146" s="154"/>
      <c r="Q146" s="154">
        <f t="shared" si="23"/>
        <v>21400332292</v>
      </c>
      <c r="R146" s="224"/>
      <c r="S146" s="154">
        <f t="shared" si="27"/>
        <v>1204268829</v>
      </c>
      <c r="T146" s="224"/>
      <c r="U146" s="355">
        <f t="shared" si="25"/>
        <v>23869361441</v>
      </c>
      <c r="V146" s="222"/>
      <c r="W146" s="206">
        <f>U146/درآمدها!$E$11</f>
        <v>4.3541407155055931E-2</v>
      </c>
      <c r="Y146" s="162"/>
    </row>
    <row r="147" spans="1:25" s="60" customFormat="1" ht="42.75" customHeight="1">
      <c r="A147" s="142"/>
      <c r="B147" s="142" t="s">
        <v>389</v>
      </c>
      <c r="C147" s="153" t="s">
        <v>192</v>
      </c>
      <c r="D147" s="226"/>
      <c r="E147" s="154">
        <v>0</v>
      </c>
      <c r="F147" s="154"/>
      <c r="G147" s="154">
        <v>0</v>
      </c>
      <c r="H147" s="224"/>
      <c r="I147" s="154">
        <f t="shared" si="26"/>
        <v>805892827</v>
      </c>
      <c r="J147" s="225"/>
      <c r="K147" s="155">
        <f t="shared" si="24"/>
        <v>805892827</v>
      </c>
      <c r="L147" s="155"/>
      <c r="M147" s="206">
        <f>K147/($K$203+'درآمد سرمایه گذاری در اوراق بها'!$I$11+'درآمد سپرده بانکی'!$E$11+'سایر درآمدها'!$C$11)</f>
        <v>2.1043764122588753E-3</v>
      </c>
      <c r="N147" s="226"/>
      <c r="O147" s="154">
        <v>4795700</v>
      </c>
      <c r="P147" s="154"/>
      <c r="Q147" s="154">
        <v>0</v>
      </c>
      <c r="R147" s="224"/>
      <c r="S147" s="154">
        <f t="shared" si="27"/>
        <v>-171604492</v>
      </c>
      <c r="T147" s="224"/>
      <c r="U147" s="355">
        <f t="shared" si="25"/>
        <v>-166808792</v>
      </c>
      <c r="V147" s="222"/>
      <c r="W147" s="206">
        <f>U147/درآمدها!$E$11</f>
        <v>-3.0428503701147825E-4</v>
      </c>
      <c r="Y147" s="162"/>
    </row>
    <row r="148" spans="1:25" s="60" customFormat="1" ht="42.75" customHeight="1">
      <c r="A148" s="142"/>
      <c r="B148" s="142" t="s">
        <v>716</v>
      </c>
      <c r="C148" s="153" t="s">
        <v>518</v>
      </c>
      <c r="D148" s="226"/>
      <c r="E148" s="154">
        <v>0</v>
      </c>
      <c r="F148" s="154"/>
      <c r="G148" s="154">
        <f t="shared" ref="G148:G176" si="28">VLOOKUP(B148,a,10,0)</f>
        <v>652507840</v>
      </c>
      <c r="H148" s="224"/>
      <c r="I148" s="154">
        <f t="shared" si="26"/>
        <v>0</v>
      </c>
      <c r="J148" s="225"/>
      <c r="K148" s="155">
        <f t="shared" si="24"/>
        <v>652507840</v>
      </c>
      <c r="L148" s="155"/>
      <c r="M148" s="206">
        <f>K148/($K$203+'درآمد سرمایه گذاری در اوراق بها'!$I$11+'درآمد سپرده بانکی'!$E$11+'سایر درآمدها'!$C$11)</f>
        <v>1.7038520027800026E-3</v>
      </c>
      <c r="N148" s="226"/>
      <c r="O148" s="154">
        <v>282652500</v>
      </c>
      <c r="P148" s="154"/>
      <c r="Q148" s="154">
        <f t="shared" ref="Q148:Q176" si="29">VLOOKUP(B148,a,18,0)</f>
        <v>-31158685</v>
      </c>
      <c r="R148" s="224"/>
      <c r="S148" s="154">
        <f t="shared" si="27"/>
        <v>-52746059</v>
      </c>
      <c r="T148" s="224"/>
      <c r="U148" s="355">
        <f t="shared" si="25"/>
        <v>198747756</v>
      </c>
      <c r="V148" s="222"/>
      <c r="W148" s="206">
        <f>U148/درآمدها!$E$11</f>
        <v>3.6254664736381668E-4</v>
      </c>
      <c r="Y148" s="162"/>
    </row>
    <row r="149" spans="1:25" s="60" customFormat="1" ht="49.5" customHeight="1">
      <c r="A149" s="142"/>
      <c r="B149" s="142" t="s">
        <v>390</v>
      </c>
      <c r="C149" s="153" t="s">
        <v>137</v>
      </c>
      <c r="D149" s="226"/>
      <c r="E149" s="154">
        <v>0</v>
      </c>
      <c r="F149" s="154"/>
      <c r="G149" s="154">
        <f t="shared" si="28"/>
        <v>353915603</v>
      </c>
      <c r="H149" s="224"/>
      <c r="I149" s="154">
        <f t="shared" si="26"/>
        <v>-2309391</v>
      </c>
      <c r="J149" s="225"/>
      <c r="K149" s="155">
        <f t="shared" si="24"/>
        <v>351606212</v>
      </c>
      <c r="L149" s="155"/>
      <c r="M149" s="206">
        <f>K149/($K$203+'درآمد سرمایه گذاری در اوراق بها'!$I$11+'درآمد سپرده بانکی'!$E$11+'سایر درآمدها'!$C$11)</f>
        <v>9.1812682052385796E-4</v>
      </c>
      <c r="N149" s="226"/>
      <c r="O149" s="154">
        <v>0</v>
      </c>
      <c r="P149" s="154"/>
      <c r="Q149" s="154">
        <f t="shared" si="29"/>
        <v>162365100</v>
      </c>
      <c r="R149" s="224"/>
      <c r="S149" s="154">
        <f t="shared" si="27"/>
        <v>-80929895</v>
      </c>
      <c r="T149" s="224"/>
      <c r="U149" s="355">
        <f t="shared" si="25"/>
        <v>81435205</v>
      </c>
      <c r="V149" s="222"/>
      <c r="W149" s="206">
        <f>U149/درآمدها!$E$11</f>
        <v>1.4855040954593279E-4</v>
      </c>
      <c r="Y149" s="162"/>
    </row>
    <row r="150" spans="1:25" s="60" customFormat="1" ht="42.75" customHeight="1">
      <c r="A150" s="142"/>
      <c r="B150" s="142" t="s">
        <v>391</v>
      </c>
      <c r="C150" s="153" t="s">
        <v>159</v>
      </c>
      <c r="D150" s="226"/>
      <c r="E150" s="154">
        <v>0</v>
      </c>
      <c r="F150" s="154"/>
      <c r="G150" s="154">
        <f t="shared" si="28"/>
        <v>4590711887</v>
      </c>
      <c r="H150" s="224"/>
      <c r="I150" s="154">
        <f t="shared" si="26"/>
        <v>58360171</v>
      </c>
      <c r="J150" s="225"/>
      <c r="K150" s="155">
        <f t="shared" si="24"/>
        <v>4649072058</v>
      </c>
      <c r="L150" s="155"/>
      <c r="M150" s="206">
        <f>K150/($K$203+'درآمد سرمایه گذاری در اوراق بها'!$I$11+'درآمد سپرده بانکی'!$E$11+'سایر درآمدها'!$C$11)</f>
        <v>1.2139824614355359E-2</v>
      </c>
      <c r="N150" s="226"/>
      <c r="O150" s="154">
        <v>0</v>
      </c>
      <c r="P150" s="154"/>
      <c r="Q150" s="154">
        <f t="shared" si="29"/>
        <v>8328857610</v>
      </c>
      <c r="R150" s="224"/>
      <c r="S150" s="154">
        <f t="shared" si="27"/>
        <v>948273463</v>
      </c>
      <c r="T150" s="224"/>
      <c r="U150" s="355">
        <f t="shared" si="25"/>
        <v>9277131073</v>
      </c>
      <c r="V150" s="222"/>
      <c r="W150" s="206">
        <f>U150/درآمدها!$E$11</f>
        <v>1.6922921975888058E-2</v>
      </c>
      <c r="Y150" s="162"/>
    </row>
    <row r="151" spans="1:25" s="60" customFormat="1" ht="42.75" customHeight="1">
      <c r="A151" s="142"/>
      <c r="B151" s="142" t="s">
        <v>392</v>
      </c>
      <c r="C151" s="153" t="s">
        <v>272</v>
      </c>
      <c r="D151" s="226"/>
      <c r="E151" s="154">
        <v>0</v>
      </c>
      <c r="F151" s="154"/>
      <c r="G151" s="154">
        <f t="shared" si="28"/>
        <v>1623107416</v>
      </c>
      <c r="H151" s="224"/>
      <c r="I151" s="154">
        <f t="shared" si="26"/>
        <v>7903229</v>
      </c>
      <c r="J151" s="225"/>
      <c r="K151" s="155">
        <f t="shared" si="24"/>
        <v>1631010645</v>
      </c>
      <c r="L151" s="155"/>
      <c r="M151" s="206">
        <f>K151/($K$203+'درآمد سرمایه گذاری در اوراق بها'!$I$11+'درآمد سپرده بانکی'!$E$11+'سایر درآمدها'!$C$11)</f>
        <v>4.2589538143154781E-3</v>
      </c>
      <c r="N151" s="226"/>
      <c r="O151" s="154">
        <v>0</v>
      </c>
      <c r="P151" s="154"/>
      <c r="Q151" s="154">
        <f t="shared" si="29"/>
        <v>1621310522</v>
      </c>
      <c r="R151" s="224"/>
      <c r="S151" s="154">
        <f t="shared" si="27"/>
        <v>-9217711</v>
      </c>
      <c r="T151" s="224"/>
      <c r="U151" s="355">
        <f t="shared" si="25"/>
        <v>1612092811</v>
      </c>
      <c r="V151" s="222"/>
      <c r="W151" s="206">
        <f>U151/درآمدها!$E$11</f>
        <v>2.940706630505861E-3</v>
      </c>
      <c r="Y151" s="162"/>
    </row>
    <row r="152" spans="1:25" s="60" customFormat="1" ht="42.75" customHeight="1">
      <c r="A152" s="142"/>
      <c r="B152" s="142" t="s">
        <v>393</v>
      </c>
      <c r="C152" s="153" t="s">
        <v>138</v>
      </c>
      <c r="D152" s="226"/>
      <c r="E152" s="154">
        <v>0</v>
      </c>
      <c r="F152" s="154"/>
      <c r="G152" s="154">
        <f t="shared" si="28"/>
        <v>1456506300</v>
      </c>
      <c r="H152" s="224"/>
      <c r="I152" s="154">
        <f t="shared" si="26"/>
        <v>-16426213</v>
      </c>
      <c r="J152" s="225"/>
      <c r="K152" s="155">
        <f t="shared" si="24"/>
        <v>1440080087</v>
      </c>
      <c r="L152" s="155"/>
      <c r="M152" s="206">
        <f>K152/($K$203+'درآمد سرمایه گذاری در اوراق بها'!$I$11+'درآمد سپرده بانکی'!$E$11+'سایر درآمدها'!$C$11)</f>
        <v>3.7603890558595443E-3</v>
      </c>
      <c r="N152" s="226"/>
      <c r="O152" s="154">
        <v>0</v>
      </c>
      <c r="P152" s="154"/>
      <c r="Q152" s="154">
        <f t="shared" si="29"/>
        <v>118662026</v>
      </c>
      <c r="R152" s="224"/>
      <c r="S152" s="154">
        <f t="shared" si="27"/>
        <v>-386284060</v>
      </c>
      <c r="T152" s="224"/>
      <c r="U152" s="355">
        <f t="shared" si="25"/>
        <v>-267622034</v>
      </c>
      <c r="V152" s="222"/>
      <c r="W152" s="206">
        <f>U152/درآمدها!$E$11</f>
        <v>-4.8818398325657251E-4</v>
      </c>
      <c r="Y152" s="162"/>
    </row>
    <row r="153" spans="1:25" s="60" customFormat="1" ht="42.75" customHeight="1">
      <c r="A153" s="142"/>
      <c r="B153" s="142" t="s">
        <v>394</v>
      </c>
      <c r="C153" s="153" t="s">
        <v>223</v>
      </c>
      <c r="D153" s="226"/>
      <c r="E153" s="154">
        <v>0</v>
      </c>
      <c r="F153" s="154"/>
      <c r="G153" s="154">
        <f t="shared" si="28"/>
        <v>4747839872</v>
      </c>
      <c r="H153" s="224"/>
      <c r="I153" s="154">
        <f t="shared" si="26"/>
        <v>15576082</v>
      </c>
      <c r="J153" s="225"/>
      <c r="K153" s="155">
        <f t="shared" si="24"/>
        <v>4763415954</v>
      </c>
      <c r="L153" s="155"/>
      <c r="M153" s="206">
        <f>K153/($K$203+'درآمد سرمایه گذاری در اوراق بها'!$I$11+'درآمد سپرده بانکی'!$E$11+'سایر درآمدها'!$C$11)</f>
        <v>1.2438403519101192E-2</v>
      </c>
      <c r="N153" s="226"/>
      <c r="O153" s="154">
        <v>789541200</v>
      </c>
      <c r="P153" s="154"/>
      <c r="Q153" s="154">
        <f t="shared" si="29"/>
        <v>5621939835</v>
      </c>
      <c r="R153" s="224"/>
      <c r="S153" s="154">
        <f t="shared" si="27"/>
        <v>98838046</v>
      </c>
      <c r="T153" s="224"/>
      <c r="U153" s="355">
        <f t="shared" si="25"/>
        <v>6510319081</v>
      </c>
      <c r="V153" s="222"/>
      <c r="W153" s="206">
        <f>U153/درآمدها!$E$11</f>
        <v>1.1875828958215932E-2</v>
      </c>
      <c r="Y153" s="162"/>
    </row>
    <row r="154" spans="1:25" s="60" customFormat="1" ht="42.75" customHeight="1">
      <c r="A154" s="142"/>
      <c r="B154" s="142" t="s">
        <v>395</v>
      </c>
      <c r="C154" s="153" t="s">
        <v>228</v>
      </c>
      <c r="D154" s="226"/>
      <c r="E154" s="154">
        <v>0</v>
      </c>
      <c r="F154" s="154"/>
      <c r="G154" s="154">
        <f t="shared" si="28"/>
        <v>1802607706</v>
      </c>
      <c r="H154" s="224"/>
      <c r="I154" s="154">
        <f t="shared" si="26"/>
        <v>-14383104</v>
      </c>
      <c r="J154" s="225"/>
      <c r="K154" s="155">
        <f t="shared" si="24"/>
        <v>1788224602</v>
      </c>
      <c r="L154" s="155"/>
      <c r="M154" s="206">
        <f>K154/($K$203+'درآمد سرمایه گذاری در اوراق بها'!$I$11+'درآمد سپرده بانکی'!$E$11+'سایر درآمدها'!$C$11)</f>
        <v>4.6694765683400422E-3</v>
      </c>
      <c r="N154" s="226"/>
      <c r="O154" s="154">
        <v>140106825</v>
      </c>
      <c r="P154" s="154"/>
      <c r="Q154" s="154">
        <f t="shared" si="29"/>
        <v>584569312</v>
      </c>
      <c r="R154" s="224"/>
      <c r="S154" s="154">
        <f t="shared" si="27"/>
        <v>-292424472</v>
      </c>
      <c r="T154" s="224"/>
      <c r="U154" s="355">
        <f t="shared" si="25"/>
        <v>432251665</v>
      </c>
      <c r="V154" s="222"/>
      <c r="W154" s="206">
        <f>U154/درآمدها!$E$11</f>
        <v>7.8849389355207427E-4</v>
      </c>
      <c r="Y154" s="162"/>
    </row>
    <row r="155" spans="1:25" s="60" customFormat="1" ht="42.75" customHeight="1">
      <c r="A155" s="142"/>
      <c r="B155" s="142" t="s">
        <v>396</v>
      </c>
      <c r="C155" s="153" t="s">
        <v>209</v>
      </c>
      <c r="D155" s="226"/>
      <c r="E155" s="154">
        <v>0</v>
      </c>
      <c r="F155" s="154"/>
      <c r="G155" s="154">
        <f t="shared" si="28"/>
        <v>621521732</v>
      </c>
      <c r="H155" s="224"/>
      <c r="I155" s="154">
        <f t="shared" si="26"/>
        <v>24112207</v>
      </c>
      <c r="J155" s="225"/>
      <c r="K155" s="155">
        <f t="shared" si="24"/>
        <v>645633939</v>
      </c>
      <c r="L155" s="155"/>
      <c r="M155" s="206">
        <f>K155/($K$203+'درآمد سرمایه گذاری در اوراق بها'!$I$11+'درآمد سپرده بانکی'!$E$11+'سایر درآمدها'!$C$11)</f>
        <v>1.6859026245997168E-3</v>
      </c>
      <c r="N155" s="226"/>
      <c r="O155" s="154">
        <v>253541600</v>
      </c>
      <c r="P155" s="154"/>
      <c r="Q155" s="154">
        <f t="shared" si="29"/>
        <v>2584696503</v>
      </c>
      <c r="R155" s="224"/>
      <c r="S155" s="154">
        <f t="shared" si="27"/>
        <v>116424066</v>
      </c>
      <c r="T155" s="224"/>
      <c r="U155" s="355">
        <f t="shared" si="25"/>
        <v>2954662169</v>
      </c>
      <c r="V155" s="222"/>
      <c r="W155" s="206">
        <f>U155/درآمدها!$E$11</f>
        <v>5.389760795405674E-3</v>
      </c>
      <c r="Y155" s="162"/>
    </row>
    <row r="156" spans="1:25" s="60" customFormat="1" ht="42.75" customHeight="1">
      <c r="A156" s="142"/>
      <c r="B156" s="142" t="s">
        <v>397</v>
      </c>
      <c r="C156" s="153" t="s">
        <v>114</v>
      </c>
      <c r="D156" s="226"/>
      <c r="E156" s="154">
        <v>0</v>
      </c>
      <c r="F156" s="154"/>
      <c r="G156" s="154">
        <f t="shared" si="28"/>
        <v>800510472</v>
      </c>
      <c r="H156" s="224"/>
      <c r="I156" s="154">
        <f t="shared" si="26"/>
        <v>-19116081</v>
      </c>
      <c r="J156" s="225"/>
      <c r="K156" s="155">
        <f t="shared" si="24"/>
        <v>781394391</v>
      </c>
      <c r="L156" s="155"/>
      <c r="M156" s="206">
        <f>K156/($K$203+'درآمد سرمایه گذاری در اوراق بها'!$I$11+'درآمد سپرده بانکی'!$E$11+'سایر درآمدها'!$C$11)</f>
        <v>2.0404052127042803E-3</v>
      </c>
      <c r="N156" s="226"/>
      <c r="O156" s="154">
        <v>0</v>
      </c>
      <c r="P156" s="154"/>
      <c r="Q156" s="154">
        <f t="shared" si="29"/>
        <v>-340915628</v>
      </c>
      <c r="R156" s="224"/>
      <c r="S156" s="154">
        <f t="shared" si="27"/>
        <v>-357257802</v>
      </c>
      <c r="T156" s="224"/>
      <c r="U156" s="355">
        <f t="shared" si="25"/>
        <v>-698173430</v>
      </c>
      <c r="V156" s="222"/>
      <c r="W156" s="206">
        <f>U156/درآمدها!$E$11</f>
        <v>-1.2735763231711474E-3</v>
      </c>
      <c r="Y156" s="162"/>
    </row>
    <row r="157" spans="1:25" s="60" customFormat="1" ht="42.75" customHeight="1">
      <c r="A157" s="142"/>
      <c r="B157" s="142" t="s">
        <v>510</v>
      </c>
      <c r="C157" s="153" t="s">
        <v>491</v>
      </c>
      <c r="D157" s="226"/>
      <c r="E157" s="154">
        <v>0</v>
      </c>
      <c r="F157" s="154"/>
      <c r="G157" s="154">
        <f t="shared" si="28"/>
        <v>3386887143</v>
      </c>
      <c r="H157" s="224"/>
      <c r="I157" s="154">
        <f t="shared" si="26"/>
        <v>41238920</v>
      </c>
      <c r="J157" s="225"/>
      <c r="K157" s="155">
        <f t="shared" si="24"/>
        <v>3428126063</v>
      </c>
      <c r="L157" s="155"/>
      <c r="M157" s="206">
        <f>K157/($K$203+'درآمد سرمایه گذاری در اوراق بها'!$I$11+'درآمد سپرده بانکی'!$E$11+'سایر درآمدها'!$C$11)</f>
        <v>8.9516464020185198E-3</v>
      </c>
      <c r="N157" s="226"/>
      <c r="O157" s="154">
        <v>0</v>
      </c>
      <c r="P157" s="154"/>
      <c r="Q157" s="154">
        <f t="shared" si="29"/>
        <v>5486365867</v>
      </c>
      <c r="R157" s="224"/>
      <c r="S157" s="154">
        <f t="shared" si="27"/>
        <v>261004724</v>
      </c>
      <c r="T157" s="224"/>
      <c r="U157" s="355">
        <f t="shared" si="25"/>
        <v>5747370591</v>
      </c>
      <c r="V157" s="222"/>
      <c r="W157" s="206">
        <f>U157/درآمدها!$E$11</f>
        <v>1.048409290681223E-2</v>
      </c>
      <c r="Y157" s="162"/>
    </row>
    <row r="158" spans="1:25" s="60" customFormat="1" ht="42.75" customHeight="1">
      <c r="A158" s="142"/>
      <c r="B158" s="142" t="s">
        <v>398</v>
      </c>
      <c r="C158" s="153" t="s">
        <v>162</v>
      </c>
      <c r="D158" s="226"/>
      <c r="E158" s="154">
        <v>0</v>
      </c>
      <c r="F158" s="154"/>
      <c r="G158" s="154">
        <f t="shared" si="28"/>
        <v>1654269218</v>
      </c>
      <c r="H158" s="224"/>
      <c r="I158" s="154">
        <f t="shared" si="26"/>
        <v>23170491</v>
      </c>
      <c r="J158" s="225"/>
      <c r="K158" s="155">
        <f t="shared" si="24"/>
        <v>1677439709</v>
      </c>
      <c r="L158" s="155"/>
      <c r="M158" s="206">
        <f>K158/($K$203+'درآمد سرمایه گذاری در اوراق بها'!$I$11+'درآمد سپرده بانکی'!$E$11+'سایر درآمدها'!$C$11)</f>
        <v>4.3801910605738544E-3</v>
      </c>
      <c r="N158" s="226"/>
      <c r="O158" s="154">
        <v>801617050</v>
      </c>
      <c r="P158" s="154"/>
      <c r="Q158" s="154">
        <f t="shared" si="29"/>
        <v>3874648226</v>
      </c>
      <c r="R158" s="224"/>
      <c r="S158" s="154">
        <f t="shared" si="27"/>
        <v>699074074</v>
      </c>
      <c r="T158" s="224"/>
      <c r="U158" s="355">
        <f t="shared" si="25"/>
        <v>5375339350</v>
      </c>
      <c r="V158" s="222"/>
      <c r="W158" s="206">
        <f>U158/درآمدها!$E$11</f>
        <v>9.8054503809607684E-3</v>
      </c>
      <c r="Y158" s="162"/>
    </row>
    <row r="159" spans="1:25" s="60" customFormat="1" ht="42.75" customHeight="1">
      <c r="A159" s="142"/>
      <c r="B159" s="142" t="s">
        <v>399</v>
      </c>
      <c r="C159" s="153" t="s">
        <v>165</v>
      </c>
      <c r="D159" s="226"/>
      <c r="E159" s="154">
        <v>0</v>
      </c>
      <c r="F159" s="154"/>
      <c r="G159" s="154">
        <f t="shared" si="28"/>
        <v>880833676</v>
      </c>
      <c r="H159" s="224"/>
      <c r="I159" s="154">
        <f t="shared" si="26"/>
        <v>-1284253</v>
      </c>
      <c r="J159" s="225"/>
      <c r="K159" s="155">
        <f t="shared" si="24"/>
        <v>879549423</v>
      </c>
      <c r="L159" s="155"/>
      <c r="M159" s="206">
        <f>K159/($K$203+'درآمد سرمایه گذاری در اوراق بها'!$I$11+'درآمد سپرده بانکی'!$E$11+'سایر درآمدها'!$C$11)</f>
        <v>2.2967111719646859E-3</v>
      </c>
      <c r="N159" s="226"/>
      <c r="O159" s="154">
        <v>265091314</v>
      </c>
      <c r="P159" s="154"/>
      <c r="Q159" s="154">
        <f t="shared" si="29"/>
        <v>503707772</v>
      </c>
      <c r="R159" s="224"/>
      <c r="S159" s="154">
        <f t="shared" si="27"/>
        <v>-66079222</v>
      </c>
      <c r="T159" s="224"/>
      <c r="U159" s="355">
        <f t="shared" si="25"/>
        <v>702719864</v>
      </c>
      <c r="V159" s="222"/>
      <c r="W159" s="206">
        <f>U159/درآمدها!$E$11</f>
        <v>1.2818697219864825E-3</v>
      </c>
      <c r="Y159" s="162"/>
    </row>
    <row r="160" spans="1:25" s="60" customFormat="1" ht="42.75" customHeight="1">
      <c r="A160" s="142"/>
      <c r="B160" s="142" t="s">
        <v>400</v>
      </c>
      <c r="C160" s="153" t="s">
        <v>94</v>
      </c>
      <c r="D160" s="226"/>
      <c r="E160" s="154">
        <v>0</v>
      </c>
      <c r="F160" s="154"/>
      <c r="G160" s="154">
        <f t="shared" si="28"/>
        <v>1009472287</v>
      </c>
      <c r="H160" s="224"/>
      <c r="I160" s="154">
        <f t="shared" si="26"/>
        <v>8452436</v>
      </c>
      <c r="J160" s="225"/>
      <c r="K160" s="155">
        <f t="shared" si="24"/>
        <v>1017924723</v>
      </c>
      <c r="L160" s="155"/>
      <c r="M160" s="206">
        <f>K160/($K$203+'درآمد سرمایه گذاری در اوراق بها'!$I$11+'درآمد سپرده بانکی'!$E$11+'سایر درآمدها'!$C$11)</f>
        <v>2.6580417454644366E-3</v>
      </c>
      <c r="N160" s="226"/>
      <c r="O160" s="154">
        <v>29292120</v>
      </c>
      <c r="P160" s="154"/>
      <c r="Q160" s="154">
        <f t="shared" si="29"/>
        <v>1517678221</v>
      </c>
      <c r="R160" s="224"/>
      <c r="S160" s="154">
        <f t="shared" si="27"/>
        <v>103232945</v>
      </c>
      <c r="T160" s="224"/>
      <c r="U160" s="355">
        <f t="shared" si="25"/>
        <v>1650203286</v>
      </c>
      <c r="V160" s="222"/>
      <c r="W160" s="206">
        <f>U160/درآمدها!$E$11</f>
        <v>3.0102260314730477E-3</v>
      </c>
      <c r="Y160" s="162"/>
    </row>
    <row r="161" spans="1:25" s="60" customFormat="1" ht="42.75" customHeight="1">
      <c r="A161" s="142"/>
      <c r="B161" s="142" t="s">
        <v>401</v>
      </c>
      <c r="C161" s="153" t="s">
        <v>224</v>
      </c>
      <c r="D161" s="226"/>
      <c r="E161" s="154">
        <v>0</v>
      </c>
      <c r="F161" s="154"/>
      <c r="G161" s="154">
        <f t="shared" si="28"/>
        <v>1655185389</v>
      </c>
      <c r="H161" s="224"/>
      <c r="I161" s="154">
        <f t="shared" si="26"/>
        <v>2427220</v>
      </c>
      <c r="J161" s="225"/>
      <c r="K161" s="155">
        <f t="shared" si="24"/>
        <v>1657612609</v>
      </c>
      <c r="L161" s="155"/>
      <c r="M161" s="206">
        <f>K161/($K$203+'درآمد سرمایه گذاری در اوراق بها'!$I$11+'درآمد سپرده بانکی'!$E$11+'سایر درآمدها'!$C$11)</f>
        <v>4.3284178220418549E-3</v>
      </c>
      <c r="N161" s="226"/>
      <c r="O161" s="154">
        <v>0</v>
      </c>
      <c r="P161" s="154"/>
      <c r="Q161" s="154">
        <f t="shared" si="29"/>
        <v>1947402809</v>
      </c>
      <c r="R161" s="224"/>
      <c r="S161" s="154">
        <f t="shared" si="27"/>
        <v>51379804</v>
      </c>
      <c r="T161" s="224"/>
      <c r="U161" s="355">
        <f t="shared" si="25"/>
        <v>1998782613</v>
      </c>
      <c r="V161" s="222"/>
      <c r="W161" s="206">
        <f>U161/درآمدها!$E$11</f>
        <v>3.6460886388686529E-3</v>
      </c>
      <c r="Y161" s="162"/>
    </row>
    <row r="162" spans="1:25" s="60" customFormat="1" ht="42.75" customHeight="1">
      <c r="A162" s="142"/>
      <c r="B162" s="142" t="s">
        <v>402</v>
      </c>
      <c r="C162" s="153" t="s">
        <v>127</v>
      </c>
      <c r="D162" s="226"/>
      <c r="E162" s="154">
        <v>0</v>
      </c>
      <c r="F162" s="154"/>
      <c r="G162" s="154">
        <f t="shared" si="28"/>
        <v>2414794504</v>
      </c>
      <c r="H162" s="224"/>
      <c r="I162" s="154">
        <f t="shared" si="26"/>
        <v>870064</v>
      </c>
      <c r="J162" s="225"/>
      <c r="K162" s="155">
        <f t="shared" si="24"/>
        <v>2415664568</v>
      </c>
      <c r="L162" s="155"/>
      <c r="M162" s="206">
        <f>K162/($K$203+'درآمد سرمایه گذاری در اوراق بها'!$I$11+'درآمد سپرده بانکی'!$E$11+'سایر درآمدها'!$C$11)</f>
        <v>6.3078704345245718E-3</v>
      </c>
      <c r="N162" s="226"/>
      <c r="O162" s="154">
        <v>383647360</v>
      </c>
      <c r="P162" s="154"/>
      <c r="Q162" s="154">
        <f t="shared" si="29"/>
        <v>2466497442</v>
      </c>
      <c r="R162" s="224"/>
      <c r="S162" s="154">
        <f t="shared" si="27"/>
        <v>-58354820</v>
      </c>
      <c r="T162" s="224"/>
      <c r="U162" s="355">
        <f t="shared" si="25"/>
        <v>2791789982</v>
      </c>
      <c r="V162" s="222"/>
      <c r="W162" s="206">
        <f>U162/درآمدها!$E$11</f>
        <v>5.0926567347909591E-3</v>
      </c>
      <c r="Y162" s="162"/>
    </row>
    <row r="163" spans="1:25" s="60" customFormat="1" ht="42.75" customHeight="1">
      <c r="A163" s="142"/>
      <c r="B163" s="142" t="s">
        <v>403</v>
      </c>
      <c r="C163" s="153" t="s">
        <v>150</v>
      </c>
      <c r="D163" s="226"/>
      <c r="E163" s="154">
        <v>0</v>
      </c>
      <c r="F163" s="154"/>
      <c r="G163" s="154">
        <f t="shared" si="28"/>
        <v>2529370413</v>
      </c>
      <c r="H163" s="224"/>
      <c r="I163" s="154">
        <f t="shared" si="26"/>
        <v>-12159266</v>
      </c>
      <c r="J163" s="225"/>
      <c r="K163" s="155">
        <f t="shared" si="24"/>
        <v>2517211147</v>
      </c>
      <c r="L163" s="155"/>
      <c r="M163" s="206">
        <f>K163/($K$203+'درآمد سرمایه گذاری در اوراق بها'!$I$11+'درآمد سپرده بانکی'!$E$11+'سایر درآمدها'!$C$11)</f>
        <v>6.5730325236185629E-3</v>
      </c>
      <c r="N163" s="226"/>
      <c r="O163" s="154">
        <v>0</v>
      </c>
      <c r="P163" s="154"/>
      <c r="Q163" s="154">
        <f t="shared" si="29"/>
        <v>1772691608</v>
      </c>
      <c r="R163" s="224"/>
      <c r="S163" s="154">
        <f t="shared" si="27"/>
        <v>-232051731</v>
      </c>
      <c r="T163" s="224"/>
      <c r="U163" s="355">
        <f t="shared" si="25"/>
        <v>1540639877</v>
      </c>
      <c r="V163" s="222"/>
      <c r="W163" s="206">
        <f>U163/درآمدها!$E$11</f>
        <v>2.8103654272270272E-3</v>
      </c>
      <c r="Y163" s="162"/>
    </row>
    <row r="164" spans="1:25" s="60" customFormat="1" ht="42.75" customHeight="1">
      <c r="A164" s="142"/>
      <c r="B164" s="142" t="s">
        <v>404</v>
      </c>
      <c r="C164" s="153" t="s">
        <v>182</v>
      </c>
      <c r="D164" s="226"/>
      <c r="E164" s="154">
        <v>0</v>
      </c>
      <c r="F164" s="154"/>
      <c r="G164" s="154">
        <f t="shared" si="28"/>
        <v>10897284286</v>
      </c>
      <c r="H164" s="224"/>
      <c r="I164" s="154">
        <f t="shared" si="26"/>
        <v>11161611</v>
      </c>
      <c r="J164" s="225"/>
      <c r="K164" s="155">
        <f t="shared" si="24"/>
        <v>10908445897</v>
      </c>
      <c r="L164" s="155"/>
      <c r="M164" s="206">
        <f>K164/($K$203+'درآمد سرمایه گذاری در اوراق بها'!$I$11+'درآمد سپرده بانکی'!$E$11+'سایر درآمدها'!$C$11)</f>
        <v>2.848452731053891E-2</v>
      </c>
      <c r="N164" s="226"/>
      <c r="O164" s="154">
        <v>1767675893</v>
      </c>
      <c r="P164" s="154"/>
      <c r="Q164" s="154">
        <f t="shared" si="29"/>
        <v>9215791798</v>
      </c>
      <c r="R164" s="224"/>
      <c r="S164" s="154">
        <f t="shared" si="27"/>
        <v>-341891574</v>
      </c>
      <c r="T164" s="224"/>
      <c r="U164" s="355">
        <f t="shared" si="25"/>
        <v>10641576117</v>
      </c>
      <c r="V164" s="222"/>
      <c r="W164" s="206">
        <f>U164/درآمدها!$E$11</f>
        <v>1.9411880775575714E-2</v>
      </c>
      <c r="Y164" s="162"/>
    </row>
    <row r="165" spans="1:25" s="60" customFormat="1" ht="42.75" customHeight="1">
      <c r="A165" s="142"/>
      <c r="B165" s="142" t="s">
        <v>405</v>
      </c>
      <c r="C165" s="153" t="s">
        <v>178</v>
      </c>
      <c r="D165" s="226"/>
      <c r="E165" s="154">
        <v>0</v>
      </c>
      <c r="F165" s="154"/>
      <c r="G165" s="154">
        <f t="shared" si="28"/>
        <v>848074601</v>
      </c>
      <c r="H165" s="224"/>
      <c r="I165" s="154">
        <f t="shared" si="26"/>
        <v>2581120</v>
      </c>
      <c r="J165" s="225"/>
      <c r="K165" s="155">
        <f t="shared" si="24"/>
        <v>850655721</v>
      </c>
      <c r="L165" s="155"/>
      <c r="M165" s="206">
        <f>K165/($K$203+'درآمد سرمایه گذاری در اوراق بها'!$I$11+'درآمد سپرده بانکی'!$E$11+'سایر درآمدها'!$C$11)</f>
        <v>2.2212628953272302E-3</v>
      </c>
      <c r="N165" s="226"/>
      <c r="O165" s="154">
        <v>14754003</v>
      </c>
      <c r="P165" s="154"/>
      <c r="Q165" s="154">
        <f t="shared" si="29"/>
        <v>1147905014</v>
      </c>
      <c r="R165" s="224"/>
      <c r="S165" s="154">
        <f t="shared" si="27"/>
        <v>23436335</v>
      </c>
      <c r="T165" s="224"/>
      <c r="U165" s="355">
        <f t="shared" si="25"/>
        <v>1186095352</v>
      </c>
      <c r="V165" s="222"/>
      <c r="W165" s="206">
        <f>U165/درآمدها!$E$11</f>
        <v>2.163621376039114E-3</v>
      </c>
      <c r="Y165" s="162"/>
    </row>
    <row r="166" spans="1:25" s="60" customFormat="1" ht="42.75" customHeight="1">
      <c r="A166" s="142"/>
      <c r="B166" s="142" t="s">
        <v>406</v>
      </c>
      <c r="C166" s="153" t="s">
        <v>266</v>
      </c>
      <c r="D166" s="226"/>
      <c r="E166" s="154">
        <v>0</v>
      </c>
      <c r="F166" s="154"/>
      <c r="G166" s="154">
        <f t="shared" si="28"/>
        <v>1594924790</v>
      </c>
      <c r="H166" s="224"/>
      <c r="I166" s="154">
        <f t="shared" si="26"/>
        <v>6950923</v>
      </c>
      <c r="J166" s="225"/>
      <c r="K166" s="155">
        <f t="shared" si="24"/>
        <v>1601875713</v>
      </c>
      <c r="L166" s="155"/>
      <c r="M166" s="206">
        <f>K166/($K$203+'درآمد سرمایه گذاری در اوراق بها'!$I$11+'درآمد سپرده بانکی'!$E$11+'سایر درآمدها'!$C$11)</f>
        <v>4.1828756292027003E-3</v>
      </c>
      <c r="N166" s="226"/>
      <c r="O166" s="154">
        <v>362853800</v>
      </c>
      <c r="P166" s="154"/>
      <c r="Q166" s="154">
        <f t="shared" si="29"/>
        <v>1611534476</v>
      </c>
      <c r="R166" s="224"/>
      <c r="S166" s="154">
        <f t="shared" si="27"/>
        <v>20193146</v>
      </c>
      <c r="T166" s="224"/>
      <c r="U166" s="355">
        <f t="shared" si="25"/>
        <v>1994581422</v>
      </c>
      <c r="V166" s="222"/>
      <c r="W166" s="206">
        <f>U166/درآمدها!$E$11</f>
        <v>3.6384250166842341E-3</v>
      </c>
      <c r="Y166" s="162"/>
    </row>
    <row r="167" spans="1:25" s="60" customFormat="1" ht="42.75" customHeight="1">
      <c r="A167" s="142"/>
      <c r="B167" s="142" t="s">
        <v>407</v>
      </c>
      <c r="C167" s="153" t="s">
        <v>219</v>
      </c>
      <c r="D167" s="226"/>
      <c r="E167" s="154">
        <v>0</v>
      </c>
      <c r="F167" s="154"/>
      <c r="G167" s="154">
        <f t="shared" si="28"/>
        <v>2874054503</v>
      </c>
      <c r="H167" s="224"/>
      <c r="I167" s="154">
        <f t="shared" si="26"/>
        <v>19171758</v>
      </c>
      <c r="J167" s="225"/>
      <c r="K167" s="155">
        <f t="shared" si="24"/>
        <v>2893226261</v>
      </c>
      <c r="L167" s="155"/>
      <c r="M167" s="206">
        <f>K167/($K$203+'درآمد سرمایه گذاری در اوراق بها'!$I$11+'درآمد سپرده بانکی'!$E$11+'سایر درآمدها'!$C$11)</f>
        <v>7.5548967492874083E-3</v>
      </c>
      <c r="N167" s="226"/>
      <c r="O167" s="154">
        <v>0</v>
      </c>
      <c r="P167" s="154"/>
      <c r="Q167" s="154">
        <f t="shared" si="29"/>
        <v>4226850930</v>
      </c>
      <c r="R167" s="224"/>
      <c r="S167" s="154">
        <f t="shared" si="27"/>
        <v>104580394</v>
      </c>
      <c r="T167" s="224"/>
      <c r="U167" s="355">
        <f t="shared" si="25"/>
        <v>4331431324</v>
      </c>
      <c r="V167" s="222"/>
      <c r="W167" s="206">
        <f>U167/درآمدها!$E$11</f>
        <v>7.9012006797340526E-3</v>
      </c>
      <c r="Y167" s="162"/>
    </row>
    <row r="168" spans="1:25" s="60" customFormat="1" ht="42.75" customHeight="1">
      <c r="A168" s="142"/>
      <c r="B168" s="142" t="s">
        <v>408</v>
      </c>
      <c r="C168" s="153" t="s">
        <v>193</v>
      </c>
      <c r="D168" s="226"/>
      <c r="E168" s="154">
        <v>0</v>
      </c>
      <c r="F168" s="154"/>
      <c r="G168" s="154">
        <f t="shared" si="28"/>
        <v>2221842840</v>
      </c>
      <c r="H168" s="224"/>
      <c r="I168" s="154">
        <f t="shared" si="26"/>
        <v>16793462</v>
      </c>
      <c r="J168" s="225"/>
      <c r="K168" s="155">
        <f t="shared" si="24"/>
        <v>2238636302</v>
      </c>
      <c r="L168" s="155"/>
      <c r="M168" s="206">
        <f>K168/($K$203+'درآمد سرمایه گذاری در اوراق بها'!$I$11+'درآمد سپرده بانکی'!$E$11+'سایر درآمدها'!$C$11)</f>
        <v>5.8456078422884829E-3</v>
      </c>
      <c r="N168" s="226"/>
      <c r="O168" s="154">
        <v>0</v>
      </c>
      <c r="P168" s="154"/>
      <c r="Q168" s="154">
        <f t="shared" si="29"/>
        <v>3219145938</v>
      </c>
      <c r="R168" s="224"/>
      <c r="S168" s="154">
        <f t="shared" si="27"/>
        <v>132294904</v>
      </c>
      <c r="T168" s="224"/>
      <c r="U168" s="355">
        <f t="shared" si="25"/>
        <v>3351440842</v>
      </c>
      <c r="V168" s="222"/>
      <c r="W168" s="206">
        <f>U168/درآمدها!$E$11</f>
        <v>6.1135464649234427E-3</v>
      </c>
      <c r="Y168" s="162"/>
    </row>
    <row r="169" spans="1:25" s="60" customFormat="1" ht="42.75" customHeight="1">
      <c r="A169" s="142"/>
      <c r="B169" s="142" t="s">
        <v>409</v>
      </c>
      <c r="C169" s="153" t="s">
        <v>217</v>
      </c>
      <c r="D169" s="226"/>
      <c r="E169" s="154">
        <v>0</v>
      </c>
      <c r="F169" s="154"/>
      <c r="G169" s="154">
        <f t="shared" si="28"/>
        <v>5198158726</v>
      </c>
      <c r="H169" s="224"/>
      <c r="I169" s="154">
        <f t="shared" si="26"/>
        <v>425456</v>
      </c>
      <c r="J169" s="225"/>
      <c r="K169" s="155">
        <f t="shared" si="24"/>
        <v>5198584182</v>
      </c>
      <c r="L169" s="155"/>
      <c r="M169" s="206">
        <f>K169/($K$203+'درآمد سرمایه گذاری در اوراق بها'!$I$11+'درآمد سپرده بانکی'!$E$11+'سایر درآمدها'!$C$11)</f>
        <v>1.3574730489247672E-2</v>
      </c>
      <c r="N169" s="226"/>
      <c r="O169" s="154">
        <v>51659867</v>
      </c>
      <c r="P169" s="154"/>
      <c r="Q169" s="154">
        <f t="shared" si="29"/>
        <v>4732531913</v>
      </c>
      <c r="R169" s="224"/>
      <c r="S169" s="154">
        <f t="shared" si="27"/>
        <v>-139089366</v>
      </c>
      <c r="T169" s="224"/>
      <c r="U169" s="355">
        <f t="shared" si="25"/>
        <v>4645102414</v>
      </c>
      <c r="V169" s="222"/>
      <c r="W169" s="206">
        <f>U169/درآمدها!$E$11</f>
        <v>8.4733852635663059E-3</v>
      </c>
      <c r="Y169" s="162"/>
    </row>
    <row r="170" spans="1:25" s="60" customFormat="1" ht="42.75" customHeight="1">
      <c r="A170" s="142"/>
      <c r="B170" s="142" t="s">
        <v>410</v>
      </c>
      <c r="C170" s="153" t="s">
        <v>142</v>
      </c>
      <c r="D170" s="226"/>
      <c r="E170" s="154">
        <v>0</v>
      </c>
      <c r="F170" s="154"/>
      <c r="G170" s="154">
        <f t="shared" si="28"/>
        <v>2107256080</v>
      </c>
      <c r="H170" s="224"/>
      <c r="I170" s="154">
        <f t="shared" si="26"/>
        <v>-7333182</v>
      </c>
      <c r="J170" s="225"/>
      <c r="K170" s="155">
        <f t="shared" si="24"/>
        <v>2099922898</v>
      </c>
      <c r="L170" s="155"/>
      <c r="M170" s="206">
        <f>K170/($K$203+'درآمد سرمایه گذاری در اوراق بها'!$I$11+'درآمد سپرده بانکی'!$E$11+'سایر درآمدها'!$C$11)</f>
        <v>5.4833943994311045E-3</v>
      </c>
      <c r="N170" s="226"/>
      <c r="O170" s="154">
        <v>160707952</v>
      </c>
      <c r="P170" s="154"/>
      <c r="Q170" s="154">
        <f t="shared" si="29"/>
        <v>541458015</v>
      </c>
      <c r="R170" s="224"/>
      <c r="S170" s="154">
        <f t="shared" si="27"/>
        <v>-910393601</v>
      </c>
      <c r="T170" s="224"/>
      <c r="U170" s="355">
        <f t="shared" si="25"/>
        <v>-208227634</v>
      </c>
      <c r="V170" s="222"/>
      <c r="W170" s="206">
        <f>U170/درآمدها!$E$11</f>
        <v>-3.7983941109352644E-4</v>
      </c>
      <c r="Y170" s="162"/>
    </row>
    <row r="171" spans="1:25" s="60" customFormat="1" ht="42.75" customHeight="1">
      <c r="A171" s="142"/>
      <c r="B171" s="142" t="s">
        <v>411</v>
      </c>
      <c r="C171" s="153" t="s">
        <v>89</v>
      </c>
      <c r="D171" s="226"/>
      <c r="E171" s="154">
        <v>4229004261</v>
      </c>
      <c r="F171" s="154"/>
      <c r="G171" s="154">
        <f t="shared" si="28"/>
        <v>-4890038731</v>
      </c>
      <c r="H171" s="224"/>
      <c r="I171" s="154">
        <f t="shared" si="26"/>
        <v>47546706</v>
      </c>
      <c r="J171" s="225"/>
      <c r="K171" s="155">
        <f t="shared" si="24"/>
        <v>-613487764</v>
      </c>
      <c r="L171" s="155"/>
      <c r="M171" s="206">
        <f>K171/($K$203+'درآمد سرمایه گذاری در اوراق بها'!$I$11+'درآمد سپرده بانکی'!$E$11+'سایر درآمدها'!$C$11)</f>
        <v>-1.6019613731728121E-3</v>
      </c>
      <c r="N171" s="226"/>
      <c r="O171" s="154">
        <v>4229004261</v>
      </c>
      <c r="P171" s="154"/>
      <c r="Q171" s="154">
        <f t="shared" si="29"/>
        <v>-1676211951</v>
      </c>
      <c r="R171" s="224"/>
      <c r="S171" s="154">
        <f t="shared" si="27"/>
        <v>1781787685</v>
      </c>
      <c r="T171" s="224"/>
      <c r="U171" s="355">
        <f t="shared" si="25"/>
        <v>4334579995</v>
      </c>
      <c r="V171" s="222"/>
      <c r="W171" s="206">
        <f>U171/درآمدها!$E$11</f>
        <v>7.9069443426446496E-3</v>
      </c>
      <c r="Y171" s="162"/>
    </row>
    <row r="172" spans="1:25" s="60" customFormat="1" ht="42.75" customHeight="1">
      <c r="A172" s="142"/>
      <c r="B172" s="142" t="s">
        <v>412</v>
      </c>
      <c r="C172" s="153" t="s">
        <v>170</v>
      </c>
      <c r="D172" s="226"/>
      <c r="E172" s="154">
        <v>0</v>
      </c>
      <c r="F172" s="154"/>
      <c r="G172" s="154">
        <f t="shared" si="28"/>
        <v>502118399</v>
      </c>
      <c r="H172" s="224"/>
      <c r="I172" s="154">
        <f t="shared" si="26"/>
        <v>-28194537</v>
      </c>
      <c r="J172" s="225"/>
      <c r="K172" s="155">
        <f t="shared" si="24"/>
        <v>473923862</v>
      </c>
      <c r="L172" s="155"/>
      <c r="M172" s="206">
        <f>K172/($K$203+'درآمد سرمایه گذاری در اوراق بها'!$I$11+'درآمد سپرده بانکی'!$E$11+'سایر درآمدها'!$C$11)</f>
        <v>1.2375270792668691E-3</v>
      </c>
      <c r="N172" s="226"/>
      <c r="O172" s="154">
        <v>449223130</v>
      </c>
      <c r="P172" s="154"/>
      <c r="Q172" s="154">
        <f t="shared" si="29"/>
        <v>-1307060919</v>
      </c>
      <c r="R172" s="224"/>
      <c r="S172" s="154">
        <f t="shared" si="27"/>
        <v>-439891465</v>
      </c>
      <c r="T172" s="224"/>
      <c r="U172" s="355">
        <f t="shared" si="25"/>
        <v>-1297729254</v>
      </c>
      <c r="V172" s="222"/>
      <c r="W172" s="206">
        <f>U172/درآمدها!$E$11</f>
        <v>-2.3672588797613741E-3</v>
      </c>
      <c r="Y172" s="162"/>
    </row>
    <row r="173" spans="1:25" s="60" customFormat="1" ht="42.75" customHeight="1">
      <c r="A173" s="142"/>
      <c r="B173" s="142" t="s">
        <v>413</v>
      </c>
      <c r="C173" s="153" t="s">
        <v>268</v>
      </c>
      <c r="D173" s="226"/>
      <c r="E173" s="154">
        <v>150724171</v>
      </c>
      <c r="F173" s="154"/>
      <c r="G173" s="154">
        <f t="shared" si="28"/>
        <v>1830794422</v>
      </c>
      <c r="H173" s="224"/>
      <c r="I173" s="154">
        <f t="shared" si="26"/>
        <v>25118173</v>
      </c>
      <c r="J173" s="225"/>
      <c r="K173" s="155">
        <f t="shared" si="24"/>
        <v>2006636766</v>
      </c>
      <c r="L173" s="155"/>
      <c r="M173" s="206">
        <f>K173/($K$203+'درآمد سرمایه گذاری در اوراق بها'!$I$11+'درآمد سپرده بانکی'!$E$11+'سایر درآمدها'!$C$11)</f>
        <v>5.2398022874347184E-3</v>
      </c>
      <c r="N173" s="226"/>
      <c r="O173" s="154">
        <v>150724171</v>
      </c>
      <c r="P173" s="154"/>
      <c r="Q173" s="154">
        <f t="shared" si="29"/>
        <v>3662267989</v>
      </c>
      <c r="R173" s="224"/>
      <c r="S173" s="154">
        <f t="shared" si="27"/>
        <v>260938421</v>
      </c>
      <c r="T173" s="224"/>
      <c r="U173" s="355">
        <f t="shared" si="25"/>
        <v>4073930581</v>
      </c>
      <c r="V173" s="222"/>
      <c r="W173" s="206">
        <f>U173/درآمدها!$E$11</f>
        <v>7.4314794967268762E-3</v>
      </c>
      <c r="Y173" s="162"/>
    </row>
    <row r="174" spans="1:25" s="60" customFormat="1" ht="42.75" customHeight="1">
      <c r="A174" s="142"/>
      <c r="B174" s="142" t="s">
        <v>414</v>
      </c>
      <c r="C174" s="153" t="s">
        <v>204</v>
      </c>
      <c r="D174" s="226"/>
      <c r="E174" s="154">
        <v>0</v>
      </c>
      <c r="F174" s="154"/>
      <c r="G174" s="154">
        <f t="shared" si="28"/>
        <v>797630113</v>
      </c>
      <c r="H174" s="224"/>
      <c r="I174" s="154">
        <f t="shared" si="26"/>
        <v>1612075</v>
      </c>
      <c r="J174" s="225"/>
      <c r="K174" s="155">
        <f t="shared" si="24"/>
        <v>799242188</v>
      </c>
      <c r="L174" s="155"/>
      <c r="M174" s="206">
        <f>K174/($K$203+'درآمد سرمایه گذاری در اوراق بها'!$I$11+'درآمد سپرده بانکی'!$E$11+'سایر درآمدها'!$C$11)</f>
        <v>2.0870100238643439E-3</v>
      </c>
      <c r="N174" s="226"/>
      <c r="O174" s="154">
        <v>0</v>
      </c>
      <c r="P174" s="154"/>
      <c r="Q174" s="154">
        <f t="shared" si="29"/>
        <v>615250174</v>
      </c>
      <c r="R174" s="224"/>
      <c r="S174" s="154">
        <f t="shared" si="27"/>
        <v>-96966134</v>
      </c>
      <c r="T174" s="224"/>
      <c r="U174" s="355">
        <f t="shared" si="25"/>
        <v>518284040</v>
      </c>
      <c r="V174" s="222"/>
      <c r="W174" s="206">
        <f>U174/درآمدها!$E$11</f>
        <v>9.4543025222470578E-4</v>
      </c>
      <c r="Y174" s="162"/>
    </row>
    <row r="175" spans="1:25" s="60" customFormat="1" ht="42.75" customHeight="1">
      <c r="A175" s="142"/>
      <c r="B175" s="142" t="s">
        <v>415</v>
      </c>
      <c r="C175" s="153" t="s">
        <v>260</v>
      </c>
      <c r="D175" s="226"/>
      <c r="E175" s="154">
        <v>0</v>
      </c>
      <c r="F175" s="154"/>
      <c r="G175" s="154">
        <f t="shared" si="28"/>
        <v>39736791</v>
      </c>
      <c r="H175" s="224"/>
      <c r="I175" s="154">
        <f t="shared" si="26"/>
        <v>0</v>
      </c>
      <c r="J175" s="225"/>
      <c r="K175" s="155">
        <f t="shared" si="24"/>
        <v>39736791</v>
      </c>
      <c r="L175" s="155"/>
      <c r="M175" s="206">
        <f>K175/($K$203+'درآمد سرمایه گذاری در اوراق بها'!$I$11+'درآمد سپرده بانکی'!$E$11+'سایر درآمدها'!$C$11)</f>
        <v>1.0376214166162415E-4</v>
      </c>
      <c r="N175" s="226"/>
      <c r="O175" s="154">
        <v>0</v>
      </c>
      <c r="P175" s="154"/>
      <c r="Q175" s="154">
        <f t="shared" si="29"/>
        <v>-45193235</v>
      </c>
      <c r="R175" s="224"/>
      <c r="S175" s="154">
        <f t="shared" si="27"/>
        <v>-23425422</v>
      </c>
      <c r="T175" s="224"/>
      <c r="U175" s="355">
        <f t="shared" si="25"/>
        <v>-68618657</v>
      </c>
      <c r="V175" s="222"/>
      <c r="W175" s="206">
        <f>U175/درآمدها!$E$11</f>
        <v>-1.2517104365172149E-4</v>
      </c>
      <c r="Y175" s="162"/>
    </row>
    <row r="176" spans="1:25" s="60" customFormat="1" ht="42.75" customHeight="1">
      <c r="A176" s="142"/>
      <c r="B176" s="142" t="s">
        <v>416</v>
      </c>
      <c r="C176" s="153" t="s">
        <v>172</v>
      </c>
      <c r="D176" s="226"/>
      <c r="E176" s="154">
        <v>0</v>
      </c>
      <c r="F176" s="154"/>
      <c r="G176" s="154">
        <f t="shared" si="28"/>
        <v>9249113088</v>
      </c>
      <c r="H176" s="224"/>
      <c r="I176" s="154">
        <f t="shared" si="26"/>
        <v>119436153</v>
      </c>
      <c r="J176" s="225"/>
      <c r="K176" s="155">
        <f t="shared" si="24"/>
        <v>9368549241</v>
      </c>
      <c r="L176" s="155"/>
      <c r="M176" s="206">
        <f>K176/($K$203+'درآمد سرمایه گذاری در اوراق بها'!$I$11+'درآمد سپرده بانکی'!$E$11+'سایر درآمدها'!$C$11)</f>
        <v>2.4463493630085615E-2</v>
      </c>
      <c r="N176" s="226"/>
      <c r="O176" s="154">
        <v>177337560</v>
      </c>
      <c r="P176" s="154"/>
      <c r="Q176" s="154">
        <f t="shared" si="29"/>
        <v>17030960778</v>
      </c>
      <c r="R176" s="224"/>
      <c r="S176" s="154">
        <f t="shared" si="27"/>
        <v>1998771576</v>
      </c>
      <c r="T176" s="224"/>
      <c r="U176" s="355">
        <f t="shared" si="25"/>
        <v>19207069914</v>
      </c>
      <c r="V176" s="222"/>
      <c r="W176" s="206">
        <f>U176/درآمدها!$E$11</f>
        <v>3.5036666290728491E-2</v>
      </c>
      <c r="Y176" s="162"/>
    </row>
    <row r="177" spans="1:25" s="60" customFormat="1" ht="42.75" customHeight="1">
      <c r="A177" s="142"/>
      <c r="B177" s="142" t="s">
        <v>417</v>
      </c>
      <c r="C177" s="153" t="s">
        <v>203</v>
      </c>
      <c r="D177" s="226"/>
      <c r="E177" s="154">
        <v>0</v>
      </c>
      <c r="F177" s="154"/>
      <c r="G177" s="154">
        <v>0</v>
      </c>
      <c r="H177" s="224"/>
      <c r="I177" s="154">
        <f t="shared" ref="I177:I202" si="30">VLOOKUP(B177,b,10,0)</f>
        <v>-90461</v>
      </c>
      <c r="J177" s="225"/>
      <c r="K177" s="155">
        <f t="shared" si="24"/>
        <v>-90461</v>
      </c>
      <c r="L177" s="155"/>
      <c r="M177" s="206">
        <f>K177/($K$203+'درآمد سرمایه گذاری در اوراق بها'!$I$11+'درآمد سپرده بانکی'!$E$11+'سایر درآمدها'!$C$11)</f>
        <v>-2.3621502543706113E-7</v>
      </c>
      <c r="N177" s="226"/>
      <c r="O177" s="154">
        <v>0</v>
      </c>
      <c r="P177" s="154"/>
      <c r="Q177" s="154">
        <v>0</v>
      </c>
      <c r="R177" s="224"/>
      <c r="S177" s="154">
        <f t="shared" ref="S177:S202" si="31">VLOOKUP(B177,b,18,0)</f>
        <v>-125843989</v>
      </c>
      <c r="T177" s="224"/>
      <c r="U177" s="355">
        <f t="shared" si="25"/>
        <v>-125843989</v>
      </c>
      <c r="V177" s="222"/>
      <c r="W177" s="206">
        <f>U177/درآمدها!$E$11</f>
        <v>-2.2955890029188066E-4</v>
      </c>
      <c r="Y177" s="162"/>
    </row>
    <row r="178" spans="1:25" s="60" customFormat="1" ht="42.75" customHeight="1">
      <c r="A178" s="142"/>
      <c r="B178" s="142" t="s">
        <v>418</v>
      </c>
      <c r="C178" s="153" t="s">
        <v>115</v>
      </c>
      <c r="D178" s="226"/>
      <c r="E178" s="154">
        <v>0</v>
      </c>
      <c r="F178" s="154"/>
      <c r="G178" s="154">
        <f>VLOOKUP(B178,a,10,0)</f>
        <v>417161464</v>
      </c>
      <c r="H178" s="224"/>
      <c r="I178" s="154">
        <f t="shared" si="30"/>
        <v>6047037</v>
      </c>
      <c r="J178" s="225"/>
      <c r="K178" s="155">
        <f t="shared" si="24"/>
        <v>423208501</v>
      </c>
      <c r="L178" s="155"/>
      <c r="M178" s="206">
        <f>K178/($K$203+'درآمد سرمایه گذاری در اوراق بها'!$I$11+'درآمد سپرده بانکی'!$E$11+'سایر درآمدها'!$C$11)</f>
        <v>1.1050972997081118E-3</v>
      </c>
      <c r="N178" s="226"/>
      <c r="O178" s="154">
        <v>0</v>
      </c>
      <c r="P178" s="154"/>
      <c r="Q178" s="154">
        <f>VLOOKUP(B178,a,18,0)</f>
        <v>825156046</v>
      </c>
      <c r="R178" s="224"/>
      <c r="S178" s="154">
        <f t="shared" si="31"/>
        <v>-92457228</v>
      </c>
      <c r="T178" s="224"/>
      <c r="U178" s="355">
        <f t="shared" si="25"/>
        <v>732698818</v>
      </c>
      <c r="V178" s="222"/>
      <c r="W178" s="206">
        <f>U178/درآمدها!$E$11</f>
        <v>1.3365559709430446E-3</v>
      </c>
      <c r="Y178" s="162"/>
    </row>
    <row r="179" spans="1:25" s="60" customFormat="1" ht="42.75" customHeight="1">
      <c r="A179" s="142"/>
      <c r="B179" s="142" t="s">
        <v>511</v>
      </c>
      <c r="C179" s="153" t="s">
        <v>492</v>
      </c>
      <c r="D179" s="226"/>
      <c r="E179" s="154">
        <v>0</v>
      </c>
      <c r="F179" s="154"/>
      <c r="G179" s="154">
        <v>0</v>
      </c>
      <c r="H179" s="224"/>
      <c r="I179" s="154">
        <f t="shared" si="30"/>
        <v>0</v>
      </c>
      <c r="J179" s="225"/>
      <c r="K179" s="155">
        <f t="shared" si="24"/>
        <v>0</v>
      </c>
      <c r="L179" s="155"/>
      <c r="M179" s="206">
        <f>K179/($K$203+'درآمد سرمایه گذاری در اوراق بها'!$I$11+'درآمد سپرده بانکی'!$E$11+'سایر درآمدها'!$C$11)</f>
        <v>0</v>
      </c>
      <c r="N179" s="226"/>
      <c r="O179" s="154">
        <v>0</v>
      </c>
      <c r="P179" s="154"/>
      <c r="Q179" s="154">
        <v>0</v>
      </c>
      <c r="R179" s="224"/>
      <c r="S179" s="154">
        <f t="shared" si="31"/>
        <v>-1376162</v>
      </c>
      <c r="T179" s="224"/>
      <c r="U179" s="355">
        <f t="shared" si="25"/>
        <v>-1376162</v>
      </c>
      <c r="V179" s="222"/>
      <c r="W179" s="206">
        <f>U179/درآمدها!$E$11</f>
        <v>-2.5103323396993964E-6</v>
      </c>
      <c r="Y179" s="162"/>
    </row>
    <row r="180" spans="1:25" s="60" customFormat="1" ht="42.75" customHeight="1">
      <c r="A180" s="142"/>
      <c r="B180" s="142" t="s">
        <v>419</v>
      </c>
      <c r="C180" s="153" t="s">
        <v>174</v>
      </c>
      <c r="D180" s="226"/>
      <c r="E180" s="154">
        <v>0</v>
      </c>
      <c r="F180" s="154"/>
      <c r="G180" s="154">
        <f t="shared" ref="G180:G202" si="32">VLOOKUP(B180,a,10,0)</f>
        <v>4291330227</v>
      </c>
      <c r="H180" s="224"/>
      <c r="I180" s="154">
        <f t="shared" si="30"/>
        <v>2361172</v>
      </c>
      <c r="J180" s="225"/>
      <c r="K180" s="155">
        <f t="shared" si="24"/>
        <v>4293691399</v>
      </c>
      <c r="L180" s="155"/>
      <c r="M180" s="206">
        <f>K180/($K$203+'درآمد سرمایه گذاری در اوراق بها'!$I$11+'درآمد سپرده بانکی'!$E$11+'سایر درآمدها'!$C$11)</f>
        <v>1.1211841821709638E-2</v>
      </c>
      <c r="N180" s="226"/>
      <c r="O180" s="154">
        <v>515595210</v>
      </c>
      <c r="P180" s="154"/>
      <c r="Q180" s="154">
        <f t="shared" ref="Q180:Q202" si="33">VLOOKUP(B180,a,18,0)</f>
        <v>4073277126</v>
      </c>
      <c r="R180" s="224"/>
      <c r="S180" s="154">
        <f t="shared" si="31"/>
        <v>-113728926</v>
      </c>
      <c r="T180" s="224"/>
      <c r="U180" s="355">
        <f t="shared" si="25"/>
        <v>4475143410</v>
      </c>
      <c r="V180" s="222"/>
      <c r="W180" s="206">
        <f>U180/درآمدها!$E$11</f>
        <v>8.1633537526218814E-3</v>
      </c>
      <c r="Y180" s="162"/>
    </row>
    <row r="181" spans="1:25" s="60" customFormat="1" ht="42.75" customHeight="1">
      <c r="A181" s="142"/>
      <c r="B181" s="142" t="s">
        <v>420</v>
      </c>
      <c r="C181" s="153" t="s">
        <v>97</v>
      </c>
      <c r="D181" s="226"/>
      <c r="E181" s="154">
        <v>0</v>
      </c>
      <c r="F181" s="154"/>
      <c r="G181" s="154">
        <f t="shared" si="32"/>
        <v>3943224880</v>
      </c>
      <c r="H181" s="224"/>
      <c r="I181" s="154">
        <f t="shared" si="30"/>
        <v>36861227</v>
      </c>
      <c r="J181" s="225"/>
      <c r="K181" s="155">
        <f t="shared" si="24"/>
        <v>3980086107</v>
      </c>
      <c r="L181" s="155"/>
      <c r="M181" s="206">
        <f>K181/($K$203+'درآمد سرمایه گذاری در اوراق بها'!$I$11+'درآمد سپرده بانکی'!$E$11+'سایر درآمدها'!$C$11)</f>
        <v>1.0392944373892602E-2</v>
      </c>
      <c r="N181" s="226"/>
      <c r="O181" s="154">
        <v>0</v>
      </c>
      <c r="P181" s="154"/>
      <c r="Q181" s="154">
        <f t="shared" si="33"/>
        <v>5663033963</v>
      </c>
      <c r="R181" s="224"/>
      <c r="S181" s="154">
        <f t="shared" si="31"/>
        <v>151357660</v>
      </c>
      <c r="T181" s="224"/>
      <c r="U181" s="355">
        <f t="shared" si="25"/>
        <v>5814391623</v>
      </c>
      <c r="V181" s="222"/>
      <c r="W181" s="206">
        <f>U181/درآمدها!$E$11</f>
        <v>1.0606349635358453E-2</v>
      </c>
      <c r="Y181" s="162"/>
    </row>
    <row r="182" spans="1:25" s="60" customFormat="1" ht="42.75" customHeight="1">
      <c r="A182" s="142"/>
      <c r="B182" s="142" t="s">
        <v>421</v>
      </c>
      <c r="C182" s="153" t="s">
        <v>154</v>
      </c>
      <c r="D182" s="226"/>
      <c r="E182" s="154">
        <v>0</v>
      </c>
      <c r="F182" s="154"/>
      <c r="G182" s="154">
        <f t="shared" si="32"/>
        <v>63863582</v>
      </c>
      <c r="H182" s="224"/>
      <c r="I182" s="154">
        <f t="shared" si="30"/>
        <v>6727877</v>
      </c>
      <c r="J182" s="225"/>
      <c r="K182" s="155">
        <f t="shared" si="24"/>
        <v>70591459</v>
      </c>
      <c r="L182" s="155"/>
      <c r="M182" s="206">
        <f>K182/($K$203+'درآمد سرمایه گذاری در اوراق بها'!$I$11+'درآمد سپرده بانکی'!$E$11+'سایر درآمدها'!$C$11)</f>
        <v>1.8433096343533964E-4</v>
      </c>
      <c r="N182" s="226"/>
      <c r="O182" s="154">
        <v>103310800</v>
      </c>
      <c r="P182" s="154"/>
      <c r="Q182" s="154">
        <f t="shared" si="33"/>
        <v>357667469</v>
      </c>
      <c r="R182" s="224"/>
      <c r="S182" s="154">
        <f t="shared" si="31"/>
        <v>728626617</v>
      </c>
      <c r="T182" s="224"/>
      <c r="U182" s="355">
        <f t="shared" si="25"/>
        <v>1189604886</v>
      </c>
      <c r="V182" s="222"/>
      <c r="W182" s="206">
        <f>U182/درآمدها!$E$11</f>
        <v>2.1700233088765811E-3</v>
      </c>
      <c r="Y182" s="162"/>
    </row>
    <row r="183" spans="1:25" s="60" customFormat="1" ht="42.75" customHeight="1">
      <c r="A183" s="142"/>
      <c r="B183" s="142" t="s">
        <v>422</v>
      </c>
      <c r="C183" s="153" t="s">
        <v>136</v>
      </c>
      <c r="D183" s="226"/>
      <c r="E183" s="154">
        <v>0</v>
      </c>
      <c r="F183" s="154"/>
      <c r="G183" s="154">
        <f t="shared" si="32"/>
        <v>0</v>
      </c>
      <c r="H183" s="224"/>
      <c r="I183" s="154">
        <f t="shared" si="30"/>
        <v>0</v>
      </c>
      <c r="J183" s="225"/>
      <c r="K183" s="155">
        <f t="shared" si="24"/>
        <v>0</v>
      </c>
      <c r="L183" s="155"/>
      <c r="M183" s="206">
        <f>K183/($K$203+'درآمد سرمایه گذاری در اوراق بها'!$I$11+'درآمد سپرده بانکی'!$E$11+'سایر درآمدها'!$C$11)</f>
        <v>0</v>
      </c>
      <c r="N183" s="226"/>
      <c r="O183" s="154">
        <v>0</v>
      </c>
      <c r="P183" s="154"/>
      <c r="Q183" s="154">
        <f t="shared" si="33"/>
        <v>-886549599</v>
      </c>
      <c r="R183" s="224"/>
      <c r="S183" s="154">
        <f t="shared" si="31"/>
        <v>3533508</v>
      </c>
      <c r="T183" s="224"/>
      <c r="U183" s="355">
        <f t="shared" si="25"/>
        <v>-883016091</v>
      </c>
      <c r="V183" s="222"/>
      <c r="W183" s="206">
        <f>U183/درآمدها!$E$11</f>
        <v>-1.6107579265466165E-3</v>
      </c>
      <c r="Y183" s="162"/>
    </row>
    <row r="184" spans="1:25" s="60" customFormat="1" ht="42.75" customHeight="1">
      <c r="A184" s="142"/>
      <c r="B184" s="142" t="s">
        <v>423</v>
      </c>
      <c r="C184" s="153" t="s">
        <v>131</v>
      </c>
      <c r="D184" s="226"/>
      <c r="E184" s="154">
        <v>115115956</v>
      </c>
      <c r="F184" s="154"/>
      <c r="G184" s="154">
        <f t="shared" si="32"/>
        <v>560945542</v>
      </c>
      <c r="H184" s="224"/>
      <c r="I184" s="154">
        <f t="shared" si="30"/>
        <v>1218382</v>
      </c>
      <c r="J184" s="225"/>
      <c r="K184" s="155">
        <f t="shared" si="24"/>
        <v>677279880</v>
      </c>
      <c r="L184" s="155"/>
      <c r="M184" s="206">
        <f>K184/($K$203+'درآمد سرمایه گذاری در اوراق بها'!$I$11+'درآمد سپرده بانکی'!$E$11+'سایر درآمدها'!$C$11)</f>
        <v>1.7685376469662032E-3</v>
      </c>
      <c r="N184" s="226"/>
      <c r="O184" s="154">
        <v>115115956</v>
      </c>
      <c r="P184" s="154"/>
      <c r="Q184" s="154">
        <f t="shared" si="33"/>
        <v>893650651</v>
      </c>
      <c r="R184" s="224"/>
      <c r="S184" s="154">
        <f t="shared" si="31"/>
        <v>-109277655</v>
      </c>
      <c r="T184" s="224"/>
      <c r="U184" s="355">
        <f t="shared" si="25"/>
        <v>899488952</v>
      </c>
      <c r="V184" s="222"/>
      <c r="W184" s="206">
        <f>U184/درآمدها!$E$11</f>
        <v>1.6408069728766801E-3</v>
      </c>
      <c r="Y184" s="162"/>
    </row>
    <row r="185" spans="1:25" s="60" customFormat="1" ht="42.75" customHeight="1">
      <c r="A185" s="142"/>
      <c r="B185" s="142" t="s">
        <v>424</v>
      </c>
      <c r="C185" s="153" t="s">
        <v>190</v>
      </c>
      <c r="D185" s="226"/>
      <c r="E185" s="154">
        <v>0</v>
      </c>
      <c r="F185" s="154"/>
      <c r="G185" s="154">
        <f t="shared" si="32"/>
        <v>3668608758</v>
      </c>
      <c r="H185" s="224"/>
      <c r="I185" s="154">
        <f t="shared" si="30"/>
        <v>-12867596</v>
      </c>
      <c r="J185" s="225"/>
      <c r="K185" s="155">
        <f t="shared" si="24"/>
        <v>3655741162</v>
      </c>
      <c r="L185" s="155"/>
      <c r="M185" s="206">
        <f>K185/($K$203+'درآمد سرمایه گذاری در اوراق بها'!$I$11+'درآمد سپرده بانکی'!$E$11+'سایر درآمدها'!$C$11)</f>
        <v>9.5460031568647425E-3</v>
      </c>
      <c r="N185" s="226"/>
      <c r="O185" s="154">
        <v>8684559000</v>
      </c>
      <c r="P185" s="154"/>
      <c r="Q185" s="154">
        <f t="shared" si="33"/>
        <v>1946634475</v>
      </c>
      <c r="R185" s="224"/>
      <c r="S185" s="154">
        <f t="shared" si="31"/>
        <v>-1091487632</v>
      </c>
      <c r="T185" s="224"/>
      <c r="U185" s="355">
        <f t="shared" si="25"/>
        <v>9539705843</v>
      </c>
      <c r="V185" s="222"/>
      <c r="W185" s="206">
        <f>U185/درآمدها!$E$11</f>
        <v>1.7401898968945655E-2</v>
      </c>
      <c r="Y185" s="162"/>
    </row>
    <row r="186" spans="1:25" s="60" customFormat="1" ht="42.75" customHeight="1">
      <c r="A186" s="142"/>
      <c r="B186" s="142" t="s">
        <v>425</v>
      </c>
      <c r="C186" s="153" t="s">
        <v>96</v>
      </c>
      <c r="D186" s="226"/>
      <c r="E186" s="154">
        <v>0</v>
      </c>
      <c r="F186" s="154"/>
      <c r="G186" s="154">
        <f t="shared" si="32"/>
        <v>2429406586</v>
      </c>
      <c r="H186" s="224"/>
      <c r="I186" s="154">
        <f t="shared" si="30"/>
        <v>-7176559</v>
      </c>
      <c r="J186" s="225"/>
      <c r="K186" s="155">
        <f t="shared" si="24"/>
        <v>2422230027</v>
      </c>
      <c r="L186" s="155"/>
      <c r="M186" s="206">
        <f>K186/($K$203+'درآمد سرمایه گذاری در اوراق بها'!$I$11+'درآمد سپرده بانکی'!$E$11+'سایر درآمدها'!$C$11)</f>
        <v>6.3250143978313116E-3</v>
      </c>
      <c r="N186" s="226"/>
      <c r="O186" s="154">
        <v>0</v>
      </c>
      <c r="P186" s="154"/>
      <c r="Q186" s="154">
        <f t="shared" si="33"/>
        <v>1914862710</v>
      </c>
      <c r="R186" s="224"/>
      <c r="S186" s="154">
        <f t="shared" si="31"/>
        <v>-167697605</v>
      </c>
      <c r="T186" s="224"/>
      <c r="U186" s="355">
        <f t="shared" si="25"/>
        <v>1747165105</v>
      </c>
      <c r="V186" s="222"/>
      <c r="W186" s="206">
        <f>U186/درآمدها!$E$11</f>
        <v>3.1870993864645232E-3</v>
      </c>
      <c r="Y186" s="162"/>
    </row>
    <row r="187" spans="1:25" s="60" customFormat="1" ht="42.75" customHeight="1">
      <c r="A187" s="142"/>
      <c r="B187" s="142" t="s">
        <v>426</v>
      </c>
      <c r="C187" s="153" t="s">
        <v>194</v>
      </c>
      <c r="D187" s="226"/>
      <c r="E187" s="154">
        <v>0</v>
      </c>
      <c r="F187" s="154"/>
      <c r="G187" s="154">
        <f t="shared" si="32"/>
        <v>350358443</v>
      </c>
      <c r="H187" s="224"/>
      <c r="I187" s="154">
        <f t="shared" si="30"/>
        <v>10093779</v>
      </c>
      <c r="J187" s="225"/>
      <c r="K187" s="155">
        <f t="shared" si="24"/>
        <v>360452222</v>
      </c>
      <c r="L187" s="155"/>
      <c r="M187" s="206">
        <f>K187/($K$203+'درآمد سرمایه گذاری در اوراق بها'!$I$11+'درآمد سپرده بانکی'!$E$11+'سایر درآمدها'!$C$11)</f>
        <v>9.4122584084384655E-4</v>
      </c>
      <c r="N187" s="226"/>
      <c r="O187" s="154">
        <v>0</v>
      </c>
      <c r="P187" s="154"/>
      <c r="Q187" s="154">
        <f t="shared" si="33"/>
        <v>1678610164</v>
      </c>
      <c r="R187" s="224"/>
      <c r="S187" s="154">
        <f t="shared" si="31"/>
        <v>150117773</v>
      </c>
      <c r="T187" s="224"/>
      <c r="U187" s="355">
        <f t="shared" si="25"/>
        <v>1828727937</v>
      </c>
      <c r="V187" s="222"/>
      <c r="W187" s="206">
        <f>U187/درآمدها!$E$11</f>
        <v>3.3358826073985911E-3</v>
      </c>
      <c r="Y187" s="162"/>
    </row>
    <row r="188" spans="1:25" s="60" customFormat="1" ht="42.75" customHeight="1">
      <c r="A188" s="142"/>
      <c r="B188" s="142" t="s">
        <v>427</v>
      </c>
      <c r="C188" s="153" t="s">
        <v>95</v>
      </c>
      <c r="D188" s="226"/>
      <c r="E188" s="154">
        <v>0</v>
      </c>
      <c r="F188" s="154"/>
      <c r="G188" s="154">
        <f t="shared" si="32"/>
        <v>2825496362</v>
      </c>
      <c r="H188" s="224"/>
      <c r="I188" s="154">
        <f t="shared" si="30"/>
        <v>-6505662</v>
      </c>
      <c r="J188" s="225"/>
      <c r="K188" s="155">
        <f t="shared" si="24"/>
        <v>2818990700</v>
      </c>
      <c r="L188" s="155"/>
      <c r="M188" s="206">
        <f>K188/($K$203+'درآمد سرمایه گذاری در اوراق بها'!$I$11+'درآمد سپرده بانکی'!$E$11+'سایر درآمدها'!$C$11)</f>
        <v>7.3610501752947545E-3</v>
      </c>
      <c r="N188" s="226"/>
      <c r="O188" s="154">
        <v>0</v>
      </c>
      <c r="P188" s="154"/>
      <c r="Q188" s="154">
        <f t="shared" si="33"/>
        <v>1684548154</v>
      </c>
      <c r="R188" s="224"/>
      <c r="S188" s="154">
        <f t="shared" si="31"/>
        <v>-698333587</v>
      </c>
      <c r="T188" s="224"/>
      <c r="U188" s="355">
        <f t="shared" si="25"/>
        <v>986214567</v>
      </c>
      <c r="V188" s="222"/>
      <c r="W188" s="206">
        <f>U188/درآمدها!$E$11</f>
        <v>1.7990079085331066E-3</v>
      </c>
      <c r="Y188" s="162"/>
    </row>
    <row r="189" spans="1:25" s="60" customFormat="1" ht="42.75" customHeight="1">
      <c r="A189" s="142"/>
      <c r="B189" s="142" t="s">
        <v>428</v>
      </c>
      <c r="C189" s="153" t="s">
        <v>206</v>
      </c>
      <c r="D189" s="226"/>
      <c r="E189" s="154">
        <v>0</v>
      </c>
      <c r="F189" s="154"/>
      <c r="G189" s="154">
        <f t="shared" si="32"/>
        <v>1389076057</v>
      </c>
      <c r="H189" s="224"/>
      <c r="I189" s="154">
        <f t="shared" si="30"/>
        <v>8336778</v>
      </c>
      <c r="J189" s="225"/>
      <c r="K189" s="155">
        <f t="shared" si="24"/>
        <v>1397412835</v>
      </c>
      <c r="L189" s="155"/>
      <c r="M189" s="206">
        <f>K189/($K$203+'درآمد سرمایه گذاری در اوراق بها'!$I$11+'درآمد سپرده بانکی'!$E$11+'سایر درآمدها'!$C$11)</f>
        <v>3.6489747887553832E-3</v>
      </c>
      <c r="N189" s="226"/>
      <c r="O189" s="154">
        <v>879427500</v>
      </c>
      <c r="P189" s="154"/>
      <c r="Q189" s="154">
        <f t="shared" si="33"/>
        <v>1702108229</v>
      </c>
      <c r="R189" s="224"/>
      <c r="S189" s="154">
        <f t="shared" si="31"/>
        <v>-286481390</v>
      </c>
      <c r="T189" s="224"/>
      <c r="U189" s="355">
        <f t="shared" si="25"/>
        <v>2295054339</v>
      </c>
      <c r="V189" s="222"/>
      <c r="W189" s="206">
        <f>U189/درآمدها!$E$11</f>
        <v>4.1865340915961356E-3</v>
      </c>
      <c r="Y189" s="162"/>
    </row>
    <row r="190" spans="1:25" s="60" customFormat="1" ht="42.75" customHeight="1">
      <c r="A190" s="142"/>
      <c r="B190" s="142" t="s">
        <v>429</v>
      </c>
      <c r="C190" s="153" t="s">
        <v>177</v>
      </c>
      <c r="D190" s="226"/>
      <c r="E190" s="154">
        <v>0</v>
      </c>
      <c r="F190" s="154"/>
      <c r="G190" s="154">
        <f t="shared" si="32"/>
        <v>2409757002</v>
      </c>
      <c r="H190" s="224"/>
      <c r="I190" s="154">
        <f t="shared" si="30"/>
        <v>11888762</v>
      </c>
      <c r="J190" s="225"/>
      <c r="K190" s="155">
        <f t="shared" si="24"/>
        <v>2421645764</v>
      </c>
      <c r="L190" s="155"/>
      <c r="M190" s="206">
        <f>K190/($K$203+'درآمد سرمایه گذاری در اوراق بها'!$I$11+'درآمد سپرده بانکی'!$E$11+'سایر درآمدها'!$C$11)</f>
        <v>6.3234887492158096E-3</v>
      </c>
      <c r="N190" s="226"/>
      <c r="O190" s="154">
        <v>110615634</v>
      </c>
      <c r="P190" s="154"/>
      <c r="Q190" s="154">
        <f t="shared" si="33"/>
        <v>2833472557</v>
      </c>
      <c r="R190" s="224"/>
      <c r="S190" s="154">
        <f t="shared" si="31"/>
        <v>-41823189</v>
      </c>
      <c r="T190" s="224"/>
      <c r="U190" s="355">
        <f t="shared" si="25"/>
        <v>2902265002</v>
      </c>
      <c r="V190" s="222"/>
      <c r="W190" s="206">
        <f>U190/درآمدها!$E$11</f>
        <v>5.2941802585003313E-3</v>
      </c>
      <c r="Y190" s="162"/>
    </row>
    <row r="191" spans="1:25" s="60" customFormat="1" ht="42.75" customHeight="1">
      <c r="A191" s="142"/>
      <c r="B191" s="142" t="s">
        <v>430</v>
      </c>
      <c r="C191" s="153" t="s">
        <v>175</v>
      </c>
      <c r="D191" s="226"/>
      <c r="E191" s="154">
        <v>0</v>
      </c>
      <c r="F191" s="154"/>
      <c r="G191" s="154">
        <f t="shared" si="32"/>
        <v>633843525</v>
      </c>
      <c r="H191" s="224"/>
      <c r="I191" s="154">
        <f t="shared" si="30"/>
        <v>-1244637</v>
      </c>
      <c r="J191" s="225"/>
      <c r="K191" s="155">
        <f t="shared" si="24"/>
        <v>632598888</v>
      </c>
      <c r="L191" s="155"/>
      <c r="M191" s="206">
        <f>K191/($K$203+'درآمد سرمایه گذاری در اوراق بها'!$I$11+'درآمد سپرده بانکی'!$E$11+'سایر درآمدها'!$C$11)</f>
        <v>1.6518650293538275E-3</v>
      </c>
      <c r="N191" s="226"/>
      <c r="O191" s="154">
        <v>6084200</v>
      </c>
      <c r="P191" s="154"/>
      <c r="Q191" s="154">
        <f t="shared" si="33"/>
        <v>619971289</v>
      </c>
      <c r="R191" s="224"/>
      <c r="S191" s="154">
        <f t="shared" si="31"/>
        <v>3695010</v>
      </c>
      <c r="T191" s="224"/>
      <c r="U191" s="355">
        <f t="shared" si="25"/>
        <v>629750499</v>
      </c>
      <c r="V191" s="222"/>
      <c r="W191" s="206">
        <f>U191/درآمدها!$E$11</f>
        <v>1.1487623140164693E-3</v>
      </c>
      <c r="Y191" s="162"/>
    </row>
    <row r="192" spans="1:25" s="60" customFormat="1" ht="42.75" customHeight="1">
      <c r="A192" s="142"/>
      <c r="B192" s="142" t="s">
        <v>431</v>
      </c>
      <c r="C192" s="153" t="s">
        <v>120</v>
      </c>
      <c r="D192" s="226"/>
      <c r="E192" s="154">
        <v>0</v>
      </c>
      <c r="F192" s="154"/>
      <c r="G192" s="154">
        <f t="shared" si="32"/>
        <v>1749277492</v>
      </c>
      <c r="H192" s="224"/>
      <c r="I192" s="154">
        <f t="shared" si="30"/>
        <v>857222</v>
      </c>
      <c r="J192" s="225"/>
      <c r="K192" s="155">
        <f t="shared" si="24"/>
        <v>1750134714</v>
      </c>
      <c r="L192" s="155"/>
      <c r="M192" s="206">
        <f>K192/($K$203+'درآمد سرمایه گذاری در اوراق بها'!$I$11+'درآمد سپرده بانکی'!$E$11+'سایر درآمدها'!$C$11)</f>
        <v>4.5700148791832252E-3</v>
      </c>
      <c r="N192" s="226"/>
      <c r="O192" s="154">
        <v>0</v>
      </c>
      <c r="P192" s="154"/>
      <c r="Q192" s="154">
        <f t="shared" si="33"/>
        <v>2479259497</v>
      </c>
      <c r="R192" s="224"/>
      <c r="S192" s="154">
        <f t="shared" si="31"/>
        <v>24374975</v>
      </c>
      <c r="T192" s="224"/>
      <c r="U192" s="355">
        <f t="shared" si="25"/>
        <v>2503634472</v>
      </c>
      <c r="V192" s="222"/>
      <c r="W192" s="206">
        <f>U192/درآمدها!$E$11</f>
        <v>4.5670165153868679E-3</v>
      </c>
      <c r="Y192" s="162"/>
    </row>
    <row r="193" spans="1:25" s="60" customFormat="1" ht="42.75" customHeight="1">
      <c r="A193" s="142"/>
      <c r="B193" s="142" t="s">
        <v>432</v>
      </c>
      <c r="C193" s="153" t="s">
        <v>171</v>
      </c>
      <c r="D193" s="226"/>
      <c r="E193" s="154">
        <v>0</v>
      </c>
      <c r="F193" s="154"/>
      <c r="G193" s="154">
        <f t="shared" si="32"/>
        <v>5947713881</v>
      </c>
      <c r="H193" s="224"/>
      <c r="I193" s="154">
        <f t="shared" si="30"/>
        <v>102562789</v>
      </c>
      <c r="J193" s="225"/>
      <c r="K193" s="155">
        <f t="shared" si="24"/>
        <v>6050276670</v>
      </c>
      <c r="L193" s="155"/>
      <c r="M193" s="206">
        <f>K193/($K$203+'درآمد سرمایه گذاری در اوراق بها'!$I$11+'درآمد سپرده بانکی'!$E$11+'سایر درآمدها'!$C$11)</f>
        <v>1.5798700627953566E-2</v>
      </c>
      <c r="N193" s="226"/>
      <c r="O193" s="154">
        <v>0</v>
      </c>
      <c r="P193" s="154"/>
      <c r="Q193" s="154">
        <f t="shared" si="33"/>
        <v>10222025498</v>
      </c>
      <c r="R193" s="224"/>
      <c r="S193" s="154">
        <f t="shared" si="31"/>
        <v>692279107</v>
      </c>
      <c r="T193" s="224"/>
      <c r="U193" s="355">
        <f t="shared" si="25"/>
        <v>10914304605</v>
      </c>
      <c r="V193" s="222"/>
      <c r="W193" s="206">
        <f>U193/درآمدها!$E$11</f>
        <v>1.9909379720746211E-2</v>
      </c>
      <c r="Y193" s="162"/>
    </row>
    <row r="194" spans="1:25" s="60" customFormat="1" ht="42.75" customHeight="1">
      <c r="A194" s="142"/>
      <c r="B194" s="142" t="s">
        <v>433</v>
      </c>
      <c r="C194" s="153" t="s">
        <v>270</v>
      </c>
      <c r="D194" s="226"/>
      <c r="E194" s="154">
        <v>0</v>
      </c>
      <c r="F194" s="154"/>
      <c r="G194" s="154">
        <f t="shared" si="32"/>
        <v>803364323</v>
      </c>
      <c r="H194" s="224"/>
      <c r="I194" s="154">
        <f t="shared" si="30"/>
        <v>-6233016</v>
      </c>
      <c r="J194" s="225"/>
      <c r="K194" s="155">
        <f t="shared" si="24"/>
        <v>797131307</v>
      </c>
      <c r="L194" s="155"/>
      <c r="M194" s="206">
        <f>K194/($K$203+'درآمد سرمایه گذاری در اوراق بها'!$I$11+'درآمد سپرده بانکی'!$E$11+'سایر درآمدها'!$C$11)</f>
        <v>2.081498015273795E-3</v>
      </c>
      <c r="N194" s="226"/>
      <c r="O194" s="154">
        <v>491034198</v>
      </c>
      <c r="P194" s="154"/>
      <c r="Q194" s="154">
        <f t="shared" si="33"/>
        <v>360017423</v>
      </c>
      <c r="R194" s="224"/>
      <c r="S194" s="154">
        <f t="shared" si="31"/>
        <v>-93987699</v>
      </c>
      <c r="T194" s="224"/>
      <c r="U194" s="355">
        <f t="shared" si="25"/>
        <v>757063922</v>
      </c>
      <c r="V194" s="222"/>
      <c r="W194" s="206">
        <f>U194/درآمدها!$E$11</f>
        <v>1.3810016892024785E-3</v>
      </c>
      <c r="Y194" s="162"/>
    </row>
    <row r="195" spans="1:25" s="60" customFormat="1" ht="42.75" customHeight="1">
      <c r="A195" s="142"/>
      <c r="B195" s="142" t="s">
        <v>512</v>
      </c>
      <c r="C195" s="153" t="s">
        <v>493</v>
      </c>
      <c r="D195" s="226"/>
      <c r="E195" s="154">
        <v>0</v>
      </c>
      <c r="F195" s="154"/>
      <c r="G195" s="154">
        <f t="shared" si="32"/>
        <v>555309931</v>
      </c>
      <c r="H195" s="224"/>
      <c r="I195" s="154">
        <f t="shared" si="30"/>
        <v>10322016</v>
      </c>
      <c r="J195" s="225"/>
      <c r="K195" s="155">
        <f t="shared" si="24"/>
        <v>565631947</v>
      </c>
      <c r="L195" s="155"/>
      <c r="M195" s="206">
        <f>K195/($K$203+'درآمد سرمایه گذاری در اوراق بها'!$I$11+'درآمد سپرده بانکی'!$E$11+'سایر درآمدها'!$C$11)</f>
        <v>1.4769985380287574E-3</v>
      </c>
      <c r="N195" s="226"/>
      <c r="O195" s="154">
        <v>0</v>
      </c>
      <c r="P195" s="154"/>
      <c r="Q195" s="154">
        <f t="shared" si="33"/>
        <v>1043669671</v>
      </c>
      <c r="R195" s="224"/>
      <c r="S195" s="154">
        <f t="shared" si="31"/>
        <v>67949968</v>
      </c>
      <c r="T195" s="224"/>
      <c r="U195" s="355">
        <f t="shared" si="25"/>
        <v>1111619639</v>
      </c>
      <c r="V195" s="222"/>
      <c r="W195" s="206">
        <f>U195/درآمدها!$E$11</f>
        <v>2.0277661563294644E-3</v>
      </c>
      <c r="Y195" s="162"/>
    </row>
    <row r="196" spans="1:25" s="60" customFormat="1" ht="42.75" customHeight="1">
      <c r="A196" s="142"/>
      <c r="B196" s="142" t="s">
        <v>434</v>
      </c>
      <c r="C196" s="153" t="s">
        <v>148</v>
      </c>
      <c r="D196" s="226"/>
      <c r="E196" s="154">
        <v>0</v>
      </c>
      <c r="F196" s="154"/>
      <c r="G196" s="154">
        <f t="shared" si="32"/>
        <v>1293715145</v>
      </c>
      <c r="H196" s="224"/>
      <c r="I196" s="154">
        <f t="shared" si="30"/>
        <v>34313145</v>
      </c>
      <c r="J196" s="225"/>
      <c r="K196" s="155">
        <f t="shared" si="24"/>
        <v>1328028290</v>
      </c>
      <c r="L196" s="155"/>
      <c r="M196" s="206">
        <f>K196/($K$203+'درآمد سرمایه گذاری در اوراق بها'!$I$11+'درآمد سپرده بانکی'!$E$11+'سایر درآمدها'!$C$11)</f>
        <v>3.4677953626810094E-3</v>
      </c>
      <c r="N196" s="226"/>
      <c r="O196" s="154">
        <v>2281760400</v>
      </c>
      <c r="P196" s="154"/>
      <c r="Q196" s="154">
        <f t="shared" si="33"/>
        <v>3275875959</v>
      </c>
      <c r="R196" s="224"/>
      <c r="S196" s="154">
        <f t="shared" si="31"/>
        <v>241262249</v>
      </c>
      <c r="T196" s="224"/>
      <c r="U196" s="355">
        <f t="shared" si="25"/>
        <v>5798898608</v>
      </c>
      <c r="V196" s="222"/>
      <c r="W196" s="206">
        <f>U196/درآمدها!$E$11</f>
        <v>1.0578087979685685E-2</v>
      </c>
      <c r="Y196" s="162"/>
    </row>
    <row r="197" spans="1:25" s="60" customFormat="1" ht="42.75" customHeight="1">
      <c r="A197" s="142"/>
      <c r="B197" s="142" t="s">
        <v>435</v>
      </c>
      <c r="C197" s="153" t="s">
        <v>112</v>
      </c>
      <c r="D197" s="226"/>
      <c r="E197" s="154">
        <v>0</v>
      </c>
      <c r="F197" s="154"/>
      <c r="G197" s="154">
        <f t="shared" si="32"/>
        <v>2700757892</v>
      </c>
      <c r="H197" s="224"/>
      <c r="I197" s="154">
        <f t="shared" si="30"/>
        <v>-60202266</v>
      </c>
      <c r="J197" s="225"/>
      <c r="K197" s="155">
        <f t="shared" si="24"/>
        <v>2640555626</v>
      </c>
      <c r="L197" s="155"/>
      <c r="M197" s="206">
        <f>K197/($K$203+'درآمد سرمایه گذاری در اوراق بها'!$I$11+'درآمد سپرده بانکی'!$E$11+'سایر درآمدها'!$C$11)</f>
        <v>6.8951140752762504E-3</v>
      </c>
      <c r="N197" s="226"/>
      <c r="O197" s="154">
        <v>0</v>
      </c>
      <c r="P197" s="154"/>
      <c r="Q197" s="154">
        <f t="shared" si="33"/>
        <v>-2380074401</v>
      </c>
      <c r="R197" s="224"/>
      <c r="S197" s="154">
        <f t="shared" si="31"/>
        <v>-1082063087</v>
      </c>
      <c r="T197" s="224"/>
      <c r="U197" s="355">
        <f t="shared" si="25"/>
        <v>-3462137488</v>
      </c>
      <c r="V197" s="222"/>
      <c r="W197" s="206">
        <f>U197/درآمدها!$E$11</f>
        <v>-6.315474268735825E-3</v>
      </c>
      <c r="Y197" s="162"/>
    </row>
    <row r="198" spans="1:25" s="60" customFormat="1" ht="42.75" customHeight="1">
      <c r="A198" s="142"/>
      <c r="B198" s="142" t="s">
        <v>436</v>
      </c>
      <c r="C198" s="153" t="s">
        <v>167</v>
      </c>
      <c r="D198" s="226"/>
      <c r="E198" s="154">
        <v>0</v>
      </c>
      <c r="F198" s="154"/>
      <c r="G198" s="154">
        <f t="shared" si="32"/>
        <v>2635165616</v>
      </c>
      <c r="H198" s="224"/>
      <c r="I198" s="154">
        <f t="shared" si="30"/>
        <v>-255625</v>
      </c>
      <c r="J198" s="225"/>
      <c r="K198" s="155">
        <f t="shared" si="24"/>
        <v>2634909991</v>
      </c>
      <c r="L198" s="155"/>
      <c r="M198" s="206">
        <f>K198/($K$203+'درآمد سرمایه گذاری در اوراق بها'!$I$11+'درآمد سپرده بانکی'!$E$11+'سایر درآمدها'!$C$11)</f>
        <v>6.8803719895693342E-3</v>
      </c>
      <c r="N198" s="226"/>
      <c r="O198" s="154">
        <v>0</v>
      </c>
      <c r="P198" s="154"/>
      <c r="Q198" s="154">
        <f t="shared" si="33"/>
        <v>2726003964</v>
      </c>
      <c r="R198" s="224"/>
      <c r="S198" s="154">
        <f t="shared" si="31"/>
        <v>-167947605</v>
      </c>
      <c r="T198" s="224"/>
      <c r="U198" s="355">
        <f t="shared" si="25"/>
        <v>2558056359</v>
      </c>
      <c r="V198" s="222"/>
      <c r="W198" s="206">
        <f>U198/درآمدها!$E$11</f>
        <v>4.6662904547367162E-3</v>
      </c>
      <c r="Y198" s="162"/>
    </row>
    <row r="199" spans="1:25" s="60" customFormat="1" ht="42.75" customHeight="1">
      <c r="A199" s="142"/>
      <c r="B199" s="142" t="s">
        <v>437</v>
      </c>
      <c r="C199" s="153" t="s">
        <v>151</v>
      </c>
      <c r="D199" s="226"/>
      <c r="E199" s="154">
        <v>0</v>
      </c>
      <c r="F199" s="154"/>
      <c r="G199" s="154">
        <f t="shared" si="32"/>
        <v>809742274</v>
      </c>
      <c r="H199" s="224"/>
      <c r="I199" s="154">
        <f t="shared" si="30"/>
        <v>-37234418</v>
      </c>
      <c r="J199" s="225"/>
      <c r="K199" s="155">
        <f t="shared" si="24"/>
        <v>772507856</v>
      </c>
      <c r="L199" s="155"/>
      <c r="M199" s="206">
        <f>K199/($K$203+'درآمد سرمایه گذاری در اوراق بها'!$I$11+'درآمد سپرده بانکی'!$E$11+'سایر درآمدها'!$C$11)</f>
        <v>2.0172003720428646E-3</v>
      </c>
      <c r="N199" s="226"/>
      <c r="O199" s="154">
        <v>1403150</v>
      </c>
      <c r="P199" s="154"/>
      <c r="Q199" s="154">
        <f t="shared" si="33"/>
        <v>-1648860553</v>
      </c>
      <c r="R199" s="224"/>
      <c r="S199" s="154">
        <f t="shared" si="31"/>
        <v>-578932790</v>
      </c>
      <c r="T199" s="224"/>
      <c r="U199" s="355">
        <f t="shared" si="25"/>
        <v>-2226390193</v>
      </c>
      <c r="V199" s="222"/>
      <c r="W199" s="206">
        <f>U199/درآمدها!$E$11</f>
        <v>-4.0612800689726067E-3</v>
      </c>
      <c r="Y199" s="162"/>
    </row>
    <row r="200" spans="1:25" s="60" customFormat="1" ht="42.75" customHeight="1">
      <c r="A200" s="142"/>
      <c r="B200" s="142" t="s">
        <v>513</v>
      </c>
      <c r="C200" s="153" t="s">
        <v>494</v>
      </c>
      <c r="D200" s="226"/>
      <c r="E200" s="154">
        <v>0</v>
      </c>
      <c r="F200" s="154"/>
      <c r="G200" s="154">
        <f t="shared" si="32"/>
        <v>2062786617</v>
      </c>
      <c r="H200" s="224"/>
      <c r="I200" s="154">
        <f t="shared" si="30"/>
        <v>6847460</v>
      </c>
      <c r="J200" s="225"/>
      <c r="K200" s="155">
        <f t="shared" si="24"/>
        <v>2069634077</v>
      </c>
      <c r="L200" s="155"/>
      <c r="M200" s="206">
        <f>K200/($K$203+'درآمد سرمایه گذاری در اوراق بها'!$I$11+'درآمد سپرده بانکی'!$E$11+'سایر درآمدها'!$C$11)</f>
        <v>5.404303137749567E-3</v>
      </c>
      <c r="N200" s="226"/>
      <c r="O200" s="154">
        <v>0</v>
      </c>
      <c r="P200" s="154"/>
      <c r="Q200" s="154">
        <f t="shared" si="33"/>
        <v>3584538990</v>
      </c>
      <c r="R200" s="224"/>
      <c r="S200" s="154">
        <f t="shared" si="31"/>
        <v>124876579</v>
      </c>
      <c r="T200" s="224"/>
      <c r="U200" s="355">
        <f t="shared" si="25"/>
        <v>3709415569</v>
      </c>
      <c r="V200" s="222"/>
      <c r="W200" s="206">
        <f>U200/درآمدها!$E$11</f>
        <v>6.7665477351105006E-3</v>
      </c>
      <c r="Y200" s="162"/>
    </row>
    <row r="201" spans="1:25" s="60" customFormat="1" ht="42.75" customHeight="1">
      <c r="A201" s="142"/>
      <c r="B201" s="142" t="s">
        <v>438</v>
      </c>
      <c r="C201" s="153" t="s">
        <v>139</v>
      </c>
      <c r="D201" s="226"/>
      <c r="E201" s="154">
        <v>0</v>
      </c>
      <c r="F201" s="154"/>
      <c r="G201" s="154">
        <f t="shared" si="32"/>
        <v>1653087117</v>
      </c>
      <c r="H201" s="224"/>
      <c r="I201" s="154">
        <f t="shared" si="30"/>
        <v>18997925</v>
      </c>
      <c r="J201" s="225"/>
      <c r="K201" s="155">
        <f t="shared" si="24"/>
        <v>1672085042</v>
      </c>
      <c r="L201" s="155"/>
      <c r="M201" s="206">
        <f>K201/($K$203+'درآمد سرمایه گذاری در اوراق بها'!$I$11+'درآمد سپرده بانکی'!$E$11+'سایر درآمدها'!$C$11)</f>
        <v>4.3662087610015308E-3</v>
      </c>
      <c r="N201" s="226"/>
      <c r="O201" s="154">
        <v>0</v>
      </c>
      <c r="P201" s="154"/>
      <c r="Q201" s="154">
        <f t="shared" si="33"/>
        <v>2715666685</v>
      </c>
      <c r="R201" s="224"/>
      <c r="S201" s="154">
        <f t="shared" si="31"/>
        <v>90102052</v>
      </c>
      <c r="T201" s="224"/>
      <c r="U201" s="355">
        <f t="shared" si="25"/>
        <v>2805768737</v>
      </c>
      <c r="V201" s="222"/>
      <c r="W201" s="206">
        <f>U201/درآمدها!$E$11</f>
        <v>5.1181561460123372E-3</v>
      </c>
      <c r="Y201" s="162"/>
    </row>
    <row r="202" spans="1:25" s="60" customFormat="1" ht="42.75" customHeight="1">
      <c r="A202" s="53"/>
      <c r="B202" s="53" t="s">
        <v>439</v>
      </c>
      <c r="C202" s="153" t="s">
        <v>133</v>
      </c>
      <c r="D202" s="226"/>
      <c r="E202" s="154">
        <v>0</v>
      </c>
      <c r="F202" s="154"/>
      <c r="G202" s="154">
        <f t="shared" si="32"/>
        <v>2177462792</v>
      </c>
      <c r="H202" s="224"/>
      <c r="I202" s="154">
        <f t="shared" si="30"/>
        <v>8292805</v>
      </c>
      <c r="J202" s="225"/>
      <c r="K202" s="155">
        <f>E202+G202+I202</f>
        <v>2185755597</v>
      </c>
      <c r="L202" s="155"/>
      <c r="M202" s="206">
        <f>K202/($K$203+'درآمد سرمایه گذاری در اوراق بها'!$I$11+'درآمد سپرده بانکی'!$E$11+'سایر درآمدها'!$C$11)</f>
        <v>5.7075238383895131E-3</v>
      </c>
      <c r="N202" s="226"/>
      <c r="O202" s="154">
        <v>0</v>
      </c>
      <c r="P202" s="154"/>
      <c r="Q202" s="154">
        <f t="shared" si="33"/>
        <v>2133870268</v>
      </c>
      <c r="R202" s="224"/>
      <c r="S202" s="154">
        <f t="shared" si="31"/>
        <v>9553695</v>
      </c>
      <c r="T202" s="224"/>
      <c r="U202" s="355">
        <f t="shared" si="25"/>
        <v>2143423963</v>
      </c>
      <c r="V202" s="222"/>
      <c r="W202" s="206">
        <f>U202/درآمدها!$E$11</f>
        <v>3.9099368330222329E-3</v>
      </c>
      <c r="Y202" s="162"/>
    </row>
    <row r="203" spans="1:25" s="11" customFormat="1" ht="25.5" customHeight="1" thickBot="1">
      <c r="C203" s="153"/>
      <c r="D203" s="226"/>
      <c r="E203" s="193">
        <f>SUM(E11:E202)</f>
        <v>5297194958</v>
      </c>
      <c r="F203" s="154"/>
      <c r="G203" s="193">
        <f>SUM(G11:G202)</f>
        <v>368057716202</v>
      </c>
      <c r="H203" s="224"/>
      <c r="I203" s="193">
        <f>SUM(I11:I202)</f>
        <v>9222649296</v>
      </c>
      <c r="J203" s="225"/>
      <c r="K203" s="248">
        <f>SUM(K11:K202)</f>
        <v>382577560456</v>
      </c>
      <c r="L203" s="155"/>
      <c r="M203" s="29">
        <f>SUM(M11:M202)</f>
        <v>0.99900032251205328</v>
      </c>
      <c r="N203" s="226"/>
      <c r="O203" s="193">
        <f>SUM(O11:O202)</f>
        <v>67460369823</v>
      </c>
      <c r="P203" s="154"/>
      <c r="Q203" s="193">
        <f>SUM(Q11:Q202)</f>
        <v>466133267714</v>
      </c>
      <c r="R203" s="224"/>
      <c r="S203" s="193">
        <f>SUM(S11:S202)</f>
        <v>13170344273</v>
      </c>
      <c r="T203" s="224"/>
      <c r="U203" s="356">
        <f>SUM(U11:U202)</f>
        <v>546763981810</v>
      </c>
      <c r="V203" s="222"/>
      <c r="W203" s="29">
        <f>SUM(W11:W202)</f>
        <v>0.99738207109370536</v>
      </c>
    </row>
    <row r="204" spans="1:25" ht="25.5" customHeight="1" thickTop="1">
      <c r="F204" s="6"/>
      <c r="H204" s="6"/>
      <c r="J204" s="6"/>
      <c r="L204" s="25"/>
      <c r="N204" s="8"/>
      <c r="P204" s="6"/>
      <c r="Q204" s="196"/>
      <c r="R204" s="6"/>
      <c r="S204" s="196"/>
      <c r="T204" s="6"/>
      <c r="U204" s="196"/>
      <c r="V204" s="196"/>
    </row>
    <row r="205" spans="1:25" ht="33">
      <c r="Q205" s="198"/>
      <c r="R205" s="198"/>
      <c r="S205" s="6">
        <v>0</v>
      </c>
      <c r="U205" s="6"/>
    </row>
    <row r="206" spans="1:25" ht="33">
      <c r="G206" s="199"/>
      <c r="K206" s="207">
        <v>0</v>
      </c>
      <c r="O206" s="194">
        <v>0</v>
      </c>
      <c r="S206" s="200">
        <v>0</v>
      </c>
      <c r="U206" s="253">
        <v>0</v>
      </c>
    </row>
    <row r="207" spans="1:25" ht="33">
      <c r="G207" s="199"/>
      <c r="K207" s="207"/>
      <c r="S207" s="200"/>
      <c r="U207" s="253"/>
    </row>
    <row r="208" spans="1:25" s="155" customFormat="1" ht="25.2">
      <c r="E208" s="155">
        <f>E203-'درآمد سود سهام'!N88</f>
        <v>0</v>
      </c>
      <c r="G208" s="155">
        <f>G203-'درآمد ناشی از تغییر قیمت اوراق '!K186</f>
        <v>0</v>
      </c>
      <c r="I208" s="155">
        <f>I203-'درآمد ناشی ازفروش'!K199</f>
        <v>0</v>
      </c>
      <c r="O208" s="155">
        <f>O203-'درآمد سود سهام'!T88</f>
        <v>0</v>
      </c>
      <c r="Q208" s="155">
        <f>Q203-'درآمد ناشی از تغییر قیمت اوراق '!S186</f>
        <v>0</v>
      </c>
      <c r="S208" s="155">
        <v>0</v>
      </c>
      <c r="U208" s="355"/>
    </row>
    <row r="209" spans="21:21" s="155" customFormat="1" ht="25.2">
      <c r="U209" s="355"/>
    </row>
    <row r="210" spans="21:21" s="155" customFormat="1" ht="25.2">
      <c r="U210" s="355"/>
    </row>
    <row r="211" spans="21:21" s="155" customFormat="1" ht="25.2">
      <c r="U211" s="355"/>
    </row>
    <row r="212" spans="21:21" s="155" customFormat="1" ht="25.2">
      <c r="U212" s="355"/>
    </row>
    <row r="213" spans="21:21" s="155" customFormat="1" ht="25.2">
      <c r="U213" s="355"/>
    </row>
    <row r="214" spans="21:21" s="155" customFormat="1" ht="25.2">
      <c r="U214" s="355"/>
    </row>
    <row r="215" spans="21:21" s="155" customFormat="1" ht="25.2">
      <c r="U215" s="355"/>
    </row>
    <row r="216" spans="21:21" s="155" customFormat="1" ht="25.2">
      <c r="U216" s="355"/>
    </row>
    <row r="217" spans="21:21" s="155" customFormat="1" ht="25.2">
      <c r="U217" s="355"/>
    </row>
    <row r="218" spans="21:21" s="155" customFormat="1" ht="25.2">
      <c r="U218" s="355"/>
    </row>
    <row r="219" spans="21:21" s="155" customFormat="1" ht="25.2">
      <c r="U219" s="355"/>
    </row>
    <row r="220" spans="21:21" s="155" customFormat="1" ht="25.2">
      <c r="U220" s="355"/>
    </row>
    <row r="221" spans="21:21" s="155" customFormat="1" ht="25.2">
      <c r="U221" s="355"/>
    </row>
  </sheetData>
  <autoFilter ref="C10:W10" xr:uid="{00000000-0009-0000-0000-000009000000}">
    <sortState xmlns:xlrd2="http://schemas.microsoft.com/office/spreadsheetml/2017/richdata2" ref="C13:W202">
      <sortCondition ref="C10"/>
    </sortState>
  </autoFilter>
  <mergeCells count="23">
    <mergeCell ref="O7:W7"/>
    <mergeCell ref="E7:M7"/>
    <mergeCell ref="N8:N10"/>
    <mergeCell ref="C8:C10"/>
    <mergeCell ref="D8:D10"/>
    <mergeCell ref="F8:F10"/>
    <mergeCell ref="H8:H10"/>
    <mergeCell ref="C1:W1"/>
    <mergeCell ref="C2:W2"/>
    <mergeCell ref="C3:W3"/>
    <mergeCell ref="E8:E9"/>
    <mergeCell ref="G8:G9"/>
    <mergeCell ref="I8:I9"/>
    <mergeCell ref="O8:O9"/>
    <mergeCell ref="Q8:Q9"/>
    <mergeCell ref="S8:S9"/>
    <mergeCell ref="K8:M9"/>
    <mergeCell ref="U8:W9"/>
    <mergeCell ref="C5:W5"/>
    <mergeCell ref="P8:P10"/>
    <mergeCell ref="R8:R10"/>
    <mergeCell ref="T8:T10"/>
    <mergeCell ref="J8:J10"/>
  </mergeCells>
  <printOptions horizontalCentered="1"/>
  <pageMargins left="0.25" right="0.25" top="0.75" bottom="0.75" header="0.3" footer="0.3"/>
  <pageSetup paperSize="9" scale="41" fitToHeight="0" orientation="landscape" r:id="rId1"/>
  <rowBreaks count="2" manualBreakCount="2">
    <brk id="33" min="2" max="22" man="1"/>
    <brk id="61" min="2" max="22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Q19"/>
  <sheetViews>
    <sheetView rightToLeft="1" view="pageBreakPreview" zoomScale="90" zoomScaleNormal="100" zoomScaleSheetLayoutView="90" workbookViewId="0">
      <selection activeCell="O10" sqref="O10"/>
    </sheetView>
  </sheetViews>
  <sheetFormatPr defaultColWidth="9.109375" defaultRowHeight="21"/>
  <cols>
    <col min="1" max="1" width="34.44140625" style="4" bestFit="1" customWidth="1"/>
    <col min="2" max="2" width="0.44140625" style="4" customWidth="1"/>
    <col min="3" max="3" width="18.109375" style="4" bestFit="1" customWidth="1"/>
    <col min="4" max="4" width="0.6640625" style="4" customWidth="1"/>
    <col min="5" max="5" width="20" style="4" bestFit="1" customWidth="1"/>
    <col min="6" max="6" width="0.5546875" style="4" customWidth="1"/>
    <col min="7" max="7" width="17" style="4" bestFit="1" customWidth="1"/>
    <col min="8" max="8" width="0.5546875" style="4" customWidth="1"/>
    <col min="9" max="9" width="20.44140625" style="4" bestFit="1" customWidth="1"/>
    <col min="10" max="10" width="0.44140625" style="4" customWidth="1"/>
    <col min="11" max="11" width="18.109375" style="4" bestFit="1" customWidth="1"/>
    <col min="12" max="12" width="0.5546875" style="4" customWidth="1"/>
    <col min="13" max="13" width="17.6640625" style="4" bestFit="1" customWidth="1"/>
    <col min="14" max="14" width="0.88671875" style="4" customWidth="1"/>
    <col min="15" max="15" width="19.33203125" style="4" bestFit="1" customWidth="1"/>
    <col min="16" max="16" width="0.5546875" style="4" customWidth="1"/>
    <col min="17" max="17" width="19.33203125" style="4" bestFit="1" customWidth="1"/>
    <col min="18" max="18" width="9.109375" style="4"/>
    <col min="19" max="19" width="12.6640625" style="4" bestFit="1" customWidth="1"/>
    <col min="20" max="16384" width="9.109375" style="4"/>
  </cols>
  <sheetData>
    <row r="1" spans="1:17" ht="21" customHeight="1">
      <c r="A1" s="311" t="s">
        <v>87</v>
      </c>
      <c r="B1" s="311"/>
      <c r="C1" s="311"/>
      <c r="D1" s="311"/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</row>
    <row r="2" spans="1:17" ht="18" customHeight="1">
      <c r="A2" s="311" t="s">
        <v>53</v>
      </c>
      <c r="B2" s="311"/>
      <c r="C2" s="311"/>
      <c r="D2" s="311"/>
      <c r="E2" s="311"/>
      <c r="F2" s="311"/>
      <c r="G2" s="311"/>
      <c r="H2" s="311"/>
      <c r="I2" s="311"/>
      <c r="J2" s="311"/>
      <c r="K2" s="311"/>
      <c r="L2" s="311"/>
      <c r="M2" s="311"/>
      <c r="N2" s="311"/>
      <c r="O2" s="311"/>
      <c r="P2" s="311"/>
      <c r="Q2" s="311"/>
    </row>
    <row r="3" spans="1:17" ht="19.5" customHeight="1">
      <c r="A3" s="311" t="str">
        <f>' سهام'!A3:W3</f>
        <v>برای ماه منتهی به 1401/10/30</v>
      </c>
      <c r="B3" s="311"/>
      <c r="C3" s="311"/>
      <c r="D3" s="311"/>
      <c r="E3" s="311"/>
      <c r="F3" s="311"/>
      <c r="G3" s="311"/>
      <c r="H3" s="311"/>
      <c r="I3" s="311"/>
      <c r="J3" s="311"/>
      <c r="K3" s="311"/>
      <c r="L3" s="311"/>
      <c r="M3" s="311"/>
      <c r="N3" s="311"/>
      <c r="O3" s="311"/>
      <c r="P3" s="311"/>
      <c r="Q3" s="311"/>
    </row>
    <row r="4" spans="1:17">
      <c r="A4" s="299" t="s">
        <v>29</v>
      </c>
      <c r="B4" s="299"/>
      <c r="C4" s="299"/>
      <c r="D4" s="299"/>
      <c r="E4" s="299"/>
      <c r="F4" s="299"/>
      <c r="G4" s="299"/>
      <c r="H4" s="299"/>
      <c r="I4" s="299"/>
      <c r="J4" s="299"/>
      <c r="K4" s="299"/>
      <c r="L4" s="299"/>
      <c r="M4" s="299"/>
      <c r="N4" s="299"/>
      <c r="O4" s="299"/>
      <c r="P4" s="299"/>
      <c r="Q4" s="299"/>
    </row>
    <row r="5" spans="1:17" ht="4.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ht="22.5" customHeight="1" thickBot="1">
      <c r="A6" s="88"/>
      <c r="B6" s="89"/>
      <c r="C6" s="343" t="str">
        <f>'درآمد سرمایه گذاری در سهام '!E7</f>
        <v>طی دی ماه</v>
      </c>
      <c r="D6" s="343"/>
      <c r="E6" s="343"/>
      <c r="F6" s="343"/>
      <c r="G6" s="343"/>
      <c r="H6" s="343"/>
      <c r="I6" s="343"/>
      <c r="J6" s="229"/>
      <c r="K6" s="344" t="s">
        <v>538</v>
      </c>
      <c r="L6" s="343"/>
      <c r="M6" s="343"/>
      <c r="N6" s="343"/>
      <c r="O6" s="343"/>
      <c r="P6" s="343"/>
      <c r="Q6" s="343"/>
    </row>
    <row r="7" spans="1:17" ht="15.75" customHeight="1">
      <c r="A7" s="345"/>
      <c r="B7" s="346"/>
      <c r="C7" s="341" t="s">
        <v>15</v>
      </c>
      <c r="D7" s="341"/>
      <c r="E7" s="341" t="s">
        <v>13</v>
      </c>
      <c r="F7" s="345"/>
      <c r="G7" s="341" t="s">
        <v>14</v>
      </c>
      <c r="H7" s="345"/>
      <c r="I7" s="341" t="s">
        <v>2</v>
      </c>
      <c r="J7" s="228"/>
      <c r="K7" s="341" t="s">
        <v>15</v>
      </c>
      <c r="L7" s="341"/>
      <c r="M7" s="341" t="s">
        <v>13</v>
      </c>
      <c r="N7" s="345"/>
      <c r="O7" s="341" t="s">
        <v>14</v>
      </c>
      <c r="P7" s="345"/>
      <c r="Q7" s="341" t="s">
        <v>2</v>
      </c>
    </row>
    <row r="8" spans="1:17" ht="12" customHeight="1">
      <c r="A8" s="346"/>
      <c r="B8" s="346"/>
      <c r="C8" s="342"/>
      <c r="D8" s="342"/>
      <c r="E8" s="342"/>
      <c r="F8" s="346"/>
      <c r="G8" s="342"/>
      <c r="H8" s="346"/>
      <c r="I8" s="342"/>
      <c r="J8" s="228"/>
      <c r="K8" s="342"/>
      <c r="L8" s="342"/>
      <c r="M8" s="342"/>
      <c r="N8" s="346"/>
      <c r="O8" s="342"/>
      <c r="P8" s="346"/>
      <c r="Q8" s="342"/>
    </row>
    <row r="9" spans="1:17" ht="14.25" customHeight="1" thickBot="1">
      <c r="A9" s="346"/>
      <c r="B9" s="346"/>
      <c r="C9" s="90" t="s">
        <v>60</v>
      </c>
      <c r="D9" s="342"/>
      <c r="E9" s="90" t="s">
        <v>57</v>
      </c>
      <c r="F9" s="346"/>
      <c r="G9" s="90" t="s">
        <v>58</v>
      </c>
      <c r="H9" s="346"/>
      <c r="I9" s="343"/>
      <c r="J9" s="91"/>
      <c r="K9" s="90" t="s">
        <v>60</v>
      </c>
      <c r="L9" s="342"/>
      <c r="M9" s="90" t="s">
        <v>57</v>
      </c>
      <c r="N9" s="346"/>
      <c r="O9" s="90" t="s">
        <v>58</v>
      </c>
      <c r="P9" s="346"/>
      <c r="Q9" s="343"/>
    </row>
    <row r="10" spans="1:17" ht="21" customHeight="1">
      <c r="A10" s="42" t="s">
        <v>448</v>
      </c>
      <c r="B10" s="68"/>
      <c r="C10" s="53">
        <v>0</v>
      </c>
      <c r="D10" s="53"/>
      <c r="E10" s="53">
        <v>0</v>
      </c>
      <c r="F10" s="53"/>
      <c r="G10" s="53">
        <v>0</v>
      </c>
      <c r="H10" s="53"/>
      <c r="I10" s="53">
        <f>C10+E10+G10</f>
        <v>0</v>
      </c>
      <c r="J10" s="53"/>
      <c r="K10" s="53">
        <v>0</v>
      </c>
      <c r="L10" s="53"/>
      <c r="M10" s="53">
        <v>0</v>
      </c>
      <c r="N10" s="53"/>
      <c r="O10" s="53">
        <v>1228793</v>
      </c>
      <c r="P10" s="53">
        <v>1228793</v>
      </c>
      <c r="Q10" s="53">
        <f>O10+M10+K10</f>
        <v>1228793</v>
      </c>
    </row>
    <row r="11" spans="1:17" ht="21" customHeight="1" thickBot="1">
      <c r="A11" s="92" t="s">
        <v>2</v>
      </c>
      <c r="B11" s="93"/>
      <c r="C11" s="94">
        <f>SUM(C10:C10)</f>
        <v>0</v>
      </c>
      <c r="D11" s="95" t="e">
        <f>SUM(#REF!)</f>
        <v>#REF!</v>
      </c>
      <c r="E11" s="94">
        <f>SUM(E10:E10)</f>
        <v>0</v>
      </c>
      <c r="F11" s="95" t="e">
        <f>SUM(#REF!)</f>
        <v>#REF!</v>
      </c>
      <c r="G11" s="94">
        <f>SUM(G10:G10)</f>
        <v>0</v>
      </c>
      <c r="H11" s="95" t="e">
        <f>SUM(#REF!)</f>
        <v>#REF!</v>
      </c>
      <c r="I11" s="94">
        <f>SUM(I10:I10)</f>
        <v>0</v>
      </c>
      <c r="J11" s="95" t="e">
        <f>SUM(#REF!)</f>
        <v>#REF!</v>
      </c>
      <c r="K11" s="94">
        <v>0</v>
      </c>
      <c r="L11" s="95" t="e">
        <v>#REF!</v>
      </c>
      <c r="M11" s="94">
        <f>SUM(M10)</f>
        <v>0</v>
      </c>
      <c r="N11" s="95" t="e">
        <v>#REF!</v>
      </c>
      <c r="O11" s="94">
        <f>SUM(O10)</f>
        <v>1228793</v>
      </c>
      <c r="P11" s="95" t="e">
        <v>#REF!</v>
      </c>
      <c r="Q11" s="94">
        <f>SUM(Q10)</f>
        <v>1228793</v>
      </c>
    </row>
    <row r="12" spans="1:17" ht="21.6" thickTop="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1:17" s="53" customFormat="1"/>
    <row r="14" spans="1:17" s="53" customFormat="1">
      <c r="Q14" s="69"/>
    </row>
    <row r="15" spans="1:17" s="53" customFormat="1"/>
    <row r="17" spans="9:17">
      <c r="I17" s="65"/>
      <c r="O17" s="96"/>
      <c r="Q17" s="96"/>
    </row>
    <row r="18" spans="9:17">
      <c r="O18" s="65"/>
      <c r="Q18" s="65"/>
    </row>
    <row r="19" spans="9:17">
      <c r="I19" s="65"/>
    </row>
  </sheetData>
  <autoFilter ref="A9:Q9" xr:uid="{00000000-0009-0000-0000-00000A000000}">
    <sortState xmlns:xlrd2="http://schemas.microsoft.com/office/spreadsheetml/2017/richdata2" ref="A12:Q12">
      <sortCondition descending="1" ref="O9"/>
    </sortState>
  </autoFilter>
  <mergeCells count="22">
    <mergeCell ref="A7:A9"/>
    <mergeCell ref="B7:B9"/>
    <mergeCell ref="D7:D9"/>
    <mergeCell ref="Q7:Q9"/>
    <mergeCell ref="I7:I9"/>
    <mergeCell ref="P7:P9"/>
    <mergeCell ref="A1:Q1"/>
    <mergeCell ref="A2:Q2"/>
    <mergeCell ref="A3:Q3"/>
    <mergeCell ref="C7:C8"/>
    <mergeCell ref="E7:E8"/>
    <mergeCell ref="G7:G8"/>
    <mergeCell ref="K7:K8"/>
    <mergeCell ref="M7:M8"/>
    <mergeCell ref="O7:O8"/>
    <mergeCell ref="A4:Q4"/>
    <mergeCell ref="C6:I6"/>
    <mergeCell ref="K6:Q6"/>
    <mergeCell ref="L7:L9"/>
    <mergeCell ref="N7:N9"/>
    <mergeCell ref="F7:F9"/>
    <mergeCell ref="H7:H9"/>
  </mergeCells>
  <pageMargins left="0.25" right="0.25" top="0.75" bottom="0.75" header="0.3" footer="0.3"/>
  <pageSetup paperSize="9" scale="75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N15"/>
  <sheetViews>
    <sheetView rightToLeft="1" view="pageBreakPreview" topLeftCell="A5" zoomScaleNormal="100" zoomScaleSheetLayoutView="100" workbookViewId="0">
      <selection activeCell="I15" sqref="I15"/>
    </sheetView>
  </sheetViews>
  <sheetFormatPr defaultColWidth="9.109375" defaultRowHeight="21"/>
  <cols>
    <col min="1" max="1" width="32.109375" style="4" customWidth="1"/>
    <col min="2" max="2" width="0.6640625" style="4" customWidth="1"/>
    <col min="3" max="3" width="22.88671875" style="4" customWidth="1"/>
    <col min="4" max="4" width="0.6640625" style="4" customWidth="1"/>
    <col min="5" max="5" width="18.44140625" style="55" customWidth="1"/>
    <col min="6" max="6" width="1.44140625" style="55" customWidth="1"/>
    <col min="7" max="7" width="21.6640625" style="55" customWidth="1"/>
    <col min="8" max="8" width="1.44140625" style="55" customWidth="1"/>
    <col min="9" max="9" width="26.109375" style="55" customWidth="1"/>
    <col min="10" max="10" width="1.33203125" style="4" customWidth="1"/>
    <col min="11" max="11" width="22" style="4" customWidth="1"/>
    <col min="12" max="12" width="0.6640625" style="4" customWidth="1"/>
    <col min="13" max="13" width="13.44140625" style="4" bestFit="1" customWidth="1"/>
    <col min="14" max="14" width="11.33203125" style="4" bestFit="1" customWidth="1"/>
    <col min="15" max="16384" width="9.109375" style="4"/>
  </cols>
  <sheetData>
    <row r="1" spans="1:14" ht="21.6">
      <c r="A1" s="311" t="s">
        <v>84</v>
      </c>
      <c r="B1" s="311"/>
      <c r="C1" s="311"/>
      <c r="D1" s="311"/>
      <c r="E1" s="311"/>
      <c r="F1" s="311"/>
      <c r="G1" s="311"/>
      <c r="H1" s="311"/>
      <c r="I1" s="311"/>
      <c r="J1" s="311"/>
      <c r="K1" s="311"/>
      <c r="L1" s="311"/>
    </row>
    <row r="2" spans="1:14" ht="21.6">
      <c r="A2" s="311" t="s">
        <v>53</v>
      </c>
      <c r="B2" s="311"/>
      <c r="C2" s="311"/>
      <c r="D2" s="311"/>
      <c r="E2" s="311"/>
      <c r="F2" s="311"/>
      <c r="G2" s="311"/>
      <c r="H2" s="311"/>
      <c r="I2" s="311"/>
      <c r="J2" s="311"/>
      <c r="K2" s="311"/>
      <c r="L2" s="311"/>
    </row>
    <row r="3" spans="1:14" ht="21.6">
      <c r="A3" s="311" t="str">
        <f>' سهام'!A3:W3</f>
        <v>برای ماه منتهی به 1401/10/30</v>
      </c>
      <c r="B3" s="311"/>
      <c r="C3" s="311"/>
      <c r="D3" s="311"/>
      <c r="E3" s="311"/>
      <c r="F3" s="311"/>
      <c r="G3" s="311"/>
      <c r="H3" s="311"/>
      <c r="I3" s="311"/>
      <c r="J3" s="311"/>
      <c r="K3" s="311"/>
      <c r="L3" s="311"/>
    </row>
    <row r="4" spans="1:14">
      <c r="A4" s="299" t="s">
        <v>30</v>
      </c>
      <c r="B4" s="299"/>
      <c r="C4" s="299"/>
      <c r="D4" s="299"/>
      <c r="E4" s="299"/>
      <c r="F4" s="299"/>
      <c r="G4" s="299"/>
      <c r="H4" s="299"/>
      <c r="I4" s="299"/>
      <c r="J4" s="299"/>
      <c r="K4" s="299"/>
      <c r="L4" s="299"/>
    </row>
    <row r="5" spans="1:14" ht="21.6" thickBot="1">
      <c r="A5" s="34"/>
      <c r="B5" s="34"/>
      <c r="C5" s="34"/>
      <c r="D5" s="5"/>
      <c r="E5" s="35"/>
      <c r="F5" s="35"/>
      <c r="G5" s="35"/>
      <c r="H5" s="35"/>
      <c r="I5" s="35"/>
      <c r="J5" s="34"/>
      <c r="K5" s="34"/>
      <c r="L5" s="34"/>
    </row>
    <row r="6" spans="1:14" ht="37.5" customHeight="1" thickBot="1">
      <c r="A6" s="347" t="s">
        <v>20</v>
      </c>
      <c r="B6" s="347"/>
      <c r="C6" s="347"/>
      <c r="D6" s="229"/>
      <c r="E6" s="348" t="s">
        <v>535</v>
      </c>
      <c r="F6" s="348"/>
      <c r="G6" s="348"/>
      <c r="H6" s="348"/>
      <c r="I6" s="347" t="s">
        <v>536</v>
      </c>
      <c r="J6" s="347"/>
      <c r="K6" s="347"/>
      <c r="L6" s="347"/>
      <c r="M6" s="97"/>
    </row>
    <row r="7" spans="1:14" ht="37.200000000000003">
      <c r="A7" s="98" t="s">
        <v>16</v>
      </c>
      <c r="B7" s="229"/>
      <c r="C7" s="98" t="s">
        <v>9</v>
      </c>
      <c r="D7" s="228"/>
      <c r="E7" s="99" t="s">
        <v>17</v>
      </c>
      <c r="F7" s="100"/>
      <c r="G7" s="99" t="s">
        <v>18</v>
      </c>
      <c r="H7" s="101"/>
      <c r="I7" s="99" t="s">
        <v>17</v>
      </c>
      <c r="J7" s="229"/>
      <c r="K7" s="98" t="s">
        <v>18</v>
      </c>
      <c r="L7" s="229"/>
      <c r="M7" s="93"/>
    </row>
    <row r="8" spans="1:14" ht="27" customHeight="1">
      <c r="A8" s="102" t="s">
        <v>230</v>
      </c>
      <c r="B8" s="68"/>
      <c r="C8" s="43" t="s">
        <v>231</v>
      </c>
      <c r="D8" s="68"/>
      <c r="E8" s="46">
        <v>30257949</v>
      </c>
      <c r="F8" s="68"/>
      <c r="G8" s="103">
        <f>E8/E11</f>
        <v>0.99952662962705918</v>
      </c>
      <c r="H8" s="68"/>
      <c r="I8" s="46">
        <v>146640179</v>
      </c>
      <c r="J8" s="68"/>
      <c r="K8" s="103">
        <f>I8/I11</f>
        <v>0.99972814299803747</v>
      </c>
      <c r="L8" s="229"/>
      <c r="M8" s="47"/>
      <c r="N8" s="65"/>
    </row>
    <row r="9" spans="1:14" ht="27" customHeight="1">
      <c r="A9" s="102" t="s">
        <v>444</v>
      </c>
      <c r="B9" s="68"/>
      <c r="C9" s="43" t="s">
        <v>445</v>
      </c>
      <c r="D9" s="68"/>
      <c r="E9" s="46">
        <v>2501</v>
      </c>
      <c r="F9" s="68"/>
      <c r="G9" s="103">
        <v>0</v>
      </c>
      <c r="H9" s="68"/>
      <c r="I9" s="46">
        <v>12891</v>
      </c>
      <c r="J9" s="68"/>
      <c r="K9" s="103">
        <v>0</v>
      </c>
      <c r="L9" s="229"/>
      <c r="M9" s="47"/>
      <c r="N9" s="65"/>
    </row>
    <row r="10" spans="1:14" ht="27" customHeight="1" thickBot="1">
      <c r="A10" s="102" t="s">
        <v>458</v>
      </c>
      <c r="B10" s="68"/>
      <c r="C10" s="251">
        <v>228580460005</v>
      </c>
      <c r="D10" s="68"/>
      <c r="E10" s="46">
        <v>11829</v>
      </c>
      <c r="F10" s="68"/>
      <c r="G10" s="103">
        <f>E10/E11</f>
        <v>3.9075353395097873E-4</v>
      </c>
      <c r="H10" s="68"/>
      <c r="I10" s="46">
        <v>26985</v>
      </c>
      <c r="J10" s="68"/>
      <c r="K10" s="103">
        <f>I10/I11</f>
        <v>1.8397184266122617E-4</v>
      </c>
      <c r="L10" s="229"/>
      <c r="M10" s="47"/>
      <c r="N10" s="65"/>
    </row>
    <row r="11" spans="1:14" ht="21.6" thickBot="1">
      <c r="A11" s="92" t="s">
        <v>2</v>
      </c>
      <c r="B11" s="93"/>
      <c r="D11" s="104"/>
      <c r="E11" s="247">
        <f>SUM(E8:E10)</f>
        <v>30272279</v>
      </c>
      <c r="F11" s="68"/>
      <c r="G11" s="105">
        <f>SUM(G8:G10)</f>
        <v>0.9999173831610102</v>
      </c>
      <c r="H11" s="68"/>
      <c r="I11" s="247">
        <f>SUM(I8:I10)</f>
        <v>146680055</v>
      </c>
      <c r="J11" s="68"/>
      <c r="K11" s="105">
        <f>SUM(K8:K8)</f>
        <v>0.99972814299803747</v>
      </c>
      <c r="L11" s="229"/>
      <c r="M11" s="93"/>
    </row>
    <row r="12" spans="1:14" ht="21.6" thickTop="1">
      <c r="F12" s="68"/>
      <c r="H12" s="68"/>
      <c r="J12" s="68"/>
    </row>
    <row r="14" spans="1:14">
      <c r="E14" s="53"/>
      <c r="I14" s="69">
        <v>0</v>
      </c>
    </row>
    <row r="15" spans="1:14">
      <c r="E15" s="167"/>
      <c r="I15" s="167">
        <f>I11-'سود اوراق بهادار و سپرده بانکی'!Q10</f>
        <v>0</v>
      </c>
    </row>
  </sheetData>
  <autoFilter ref="A7:M7" xr:uid="{00000000-0009-0000-0000-00000B000000}">
    <sortState xmlns:xlrd2="http://schemas.microsoft.com/office/spreadsheetml/2017/richdata2" ref="A8:M17">
      <sortCondition descending="1" ref="I7"/>
    </sortState>
  </autoFilter>
  <mergeCells count="7">
    <mergeCell ref="A6:C6"/>
    <mergeCell ref="E6:H6"/>
    <mergeCell ref="A4:L4"/>
    <mergeCell ref="I6:L6"/>
    <mergeCell ref="A1:L1"/>
    <mergeCell ref="A2:L2"/>
    <mergeCell ref="A3:L3"/>
  </mergeCells>
  <pageMargins left="0.7" right="0.7" top="0.75" bottom="0.75" header="0.3" footer="0.3"/>
  <pageSetup paperSize="9" scale="88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16"/>
  <sheetViews>
    <sheetView rightToLeft="1" view="pageBreakPreview" zoomScaleNormal="100" zoomScaleSheetLayoutView="100" workbookViewId="0">
      <selection activeCell="E10" sqref="E10"/>
    </sheetView>
  </sheetViews>
  <sheetFormatPr defaultColWidth="9.109375" defaultRowHeight="18"/>
  <cols>
    <col min="1" max="1" width="32.44140625" style="5" customWidth="1"/>
    <col min="2" max="2" width="1.44140625" style="5" customWidth="1"/>
    <col min="3" max="3" width="17.6640625" style="5" bestFit="1" customWidth="1"/>
    <col min="4" max="4" width="0.88671875" style="5" customWidth="1"/>
    <col min="5" max="5" width="18.109375" style="5" customWidth="1"/>
    <col min="6" max="6" width="9.109375" style="5"/>
    <col min="7" max="7" width="10.6640625" style="5" bestFit="1" customWidth="1"/>
    <col min="8" max="16384" width="9.109375" style="5"/>
  </cols>
  <sheetData>
    <row r="1" spans="1:7" s="3" customFormat="1" ht="18.600000000000001">
      <c r="A1" s="296" t="s">
        <v>84</v>
      </c>
      <c r="B1" s="296"/>
      <c r="C1" s="296"/>
      <c r="D1" s="296"/>
      <c r="E1" s="296"/>
    </row>
    <row r="2" spans="1:7" s="3" customFormat="1" ht="18.600000000000001">
      <c r="A2" s="296" t="s">
        <v>53</v>
      </c>
      <c r="B2" s="296"/>
      <c r="C2" s="296"/>
      <c r="D2" s="296"/>
      <c r="E2" s="296"/>
    </row>
    <row r="3" spans="1:7" s="3" customFormat="1" ht="18.600000000000001">
      <c r="A3" s="296" t="str">
        <f>' سهام'!A3:W3</f>
        <v>برای ماه منتهی به 1401/10/30</v>
      </c>
      <c r="B3" s="296"/>
      <c r="C3" s="296"/>
      <c r="D3" s="296"/>
      <c r="E3" s="296"/>
    </row>
    <row r="4" spans="1:7" s="3" customFormat="1" ht="18.600000000000001">
      <c r="A4" s="215"/>
      <c r="B4" s="215"/>
      <c r="C4" s="215"/>
      <c r="D4" s="215"/>
      <c r="E4" s="215"/>
    </row>
    <row r="5" spans="1:7" ht="18.600000000000001">
      <c r="A5" s="299" t="s">
        <v>31</v>
      </c>
      <c r="B5" s="299"/>
      <c r="C5" s="299"/>
      <c r="D5" s="299"/>
      <c r="E5" s="299"/>
    </row>
    <row r="6" spans="1:7" ht="37.799999999999997" thickBot="1">
      <c r="A6" s="88"/>
      <c r="B6" s="89"/>
      <c r="C6" s="227" t="s">
        <v>535</v>
      </c>
      <c r="D6" s="229"/>
      <c r="E6" s="227" t="s">
        <v>536</v>
      </c>
    </row>
    <row r="7" spans="1:7" ht="16.5" customHeight="1">
      <c r="A7" s="345"/>
      <c r="B7" s="346"/>
      <c r="C7" s="341" t="s">
        <v>6</v>
      </c>
      <c r="D7" s="228"/>
      <c r="E7" s="341" t="s">
        <v>6</v>
      </c>
    </row>
    <row r="8" spans="1:7" ht="18.600000000000001" thickBot="1">
      <c r="A8" s="346"/>
      <c r="B8" s="346"/>
      <c r="C8" s="343"/>
      <c r="D8" s="91"/>
      <c r="E8" s="343"/>
    </row>
    <row r="9" spans="1:7">
      <c r="A9" s="106" t="s">
        <v>248</v>
      </c>
      <c r="B9" s="68"/>
      <c r="C9" s="46">
        <v>37373831</v>
      </c>
      <c r="D9" s="46"/>
      <c r="E9" s="46">
        <v>814814218</v>
      </c>
      <c r="G9" s="48"/>
    </row>
    <row r="10" spans="1:7" ht="25.95" customHeight="1">
      <c r="A10" s="106" t="s">
        <v>82</v>
      </c>
      <c r="B10" s="68"/>
      <c r="C10" s="46">
        <v>315190778</v>
      </c>
      <c r="D10" s="46">
        <v>349716871</v>
      </c>
      <c r="E10" s="46">
        <v>472423278</v>
      </c>
      <c r="G10" s="48"/>
    </row>
    <row r="11" spans="1:7" ht="18.600000000000001" thickBot="1">
      <c r="A11" s="107" t="s">
        <v>2</v>
      </c>
      <c r="B11" s="229"/>
      <c r="C11" s="247">
        <f>C10+C9</f>
        <v>352564609</v>
      </c>
      <c r="D11" s="46"/>
      <c r="E11" s="247">
        <f>SUM(E9:E10)</f>
        <v>1287237496</v>
      </c>
    </row>
    <row r="12" spans="1:7" ht="18.600000000000001" thickTop="1">
      <c r="D12" s="46"/>
    </row>
    <row r="13" spans="1:7">
      <c r="C13" s="49"/>
      <c r="D13" s="46"/>
    </row>
    <row r="14" spans="1:7">
      <c r="C14" s="166"/>
      <c r="E14" s="49"/>
    </row>
    <row r="15" spans="1:7">
      <c r="C15" s="48"/>
    </row>
    <row r="16" spans="1:7">
      <c r="C16" s="49"/>
      <c r="E16" s="48"/>
    </row>
  </sheetData>
  <mergeCells count="8">
    <mergeCell ref="A1:E1"/>
    <mergeCell ref="A2:E2"/>
    <mergeCell ref="A3:E3"/>
    <mergeCell ref="E7:E8"/>
    <mergeCell ref="C7:C8"/>
    <mergeCell ref="A5:E5"/>
    <mergeCell ref="A7:A8"/>
    <mergeCell ref="B7:B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23</vt:i4>
      </vt:variant>
    </vt:vector>
  </HeadingPairs>
  <TitlesOfParts>
    <vt:vector size="36" baseType="lpstr">
      <vt:lpstr>روکش</vt:lpstr>
      <vt:lpstr> سهام</vt:lpstr>
      <vt:lpstr>اوراق</vt:lpstr>
      <vt:lpstr>سپرده</vt:lpstr>
      <vt:lpstr>درآمدها</vt:lpstr>
      <vt:lpstr>سود اوراق بهادار و سپرده بانکی</vt:lpstr>
      <vt:lpstr>درآمد سود سهام</vt:lpstr>
      <vt:lpstr>درآمد ناشی ازفروش</vt:lpstr>
      <vt:lpstr>درآمد ناشی از تغییر قیمت اوراق </vt:lpstr>
      <vt:lpstr>درآمد سرمایه گذاری در سهام </vt:lpstr>
      <vt:lpstr>درآمد سرمایه گذاری در اوراق بها</vt:lpstr>
      <vt:lpstr>درآمد سپرده بانکی</vt:lpstr>
      <vt:lpstr>سایر درآمدها</vt:lpstr>
      <vt:lpstr>a</vt:lpstr>
      <vt:lpstr>b</vt:lpstr>
      <vt:lpstr>' سهام'!Print_Area</vt:lpstr>
      <vt:lpstr>اوراق!Print_Area</vt:lpstr>
      <vt:lpstr>'درآمد سپرده بانکی'!Print_Area</vt:lpstr>
      <vt:lpstr>'درآمد سرمایه گذاری در اوراق بها'!Print_Area</vt:lpstr>
      <vt:lpstr>'درآمد سرمایه گذاری در سهام '!Print_Area</vt:lpstr>
      <vt:lpstr>'درآمد سود سهام'!Print_Area</vt:lpstr>
      <vt:lpstr>'درآمد ناشی از تغییر قیمت اوراق '!Print_Area</vt:lpstr>
      <vt:lpstr>'درآمد ناشی ازفروش'!Print_Area</vt:lpstr>
      <vt:lpstr>درآمدها!Print_Area</vt:lpstr>
      <vt:lpstr>روکش!Print_Area</vt:lpstr>
      <vt:lpstr>'سایر درآمدها'!Print_Area</vt:lpstr>
      <vt:lpstr>سپرده!Print_Area</vt:lpstr>
      <vt:lpstr>'سود اوراق بهادار و سپرده بانکی'!Print_Area</vt:lpstr>
      <vt:lpstr>' سهام'!Print_Titles</vt:lpstr>
      <vt:lpstr>'درآمد سرمایه گذاری در سهام '!Print_Titles</vt:lpstr>
      <vt:lpstr>'درآمد ناشی از تغییر قیمت اوراق '!Print_Titles</vt:lpstr>
      <vt:lpstr>'درآمد ناشی ازفروش'!Print_Titles</vt:lpstr>
      <vt:lpstr>تحققنیافته</vt:lpstr>
      <vt:lpstr>درآمدسودسهام</vt:lpstr>
      <vt:lpstr>سود</vt:lpstr>
      <vt:lpstr>فروش</vt:lpstr>
    </vt:vector>
  </TitlesOfParts>
  <Company>15KHODAEI-A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Akbar Iranshahi</dc:creator>
  <cp:lastModifiedBy>Sayeh Smaeee</cp:lastModifiedBy>
  <cp:lastPrinted>2023-01-29T10:24:43Z</cp:lastPrinted>
  <dcterms:created xsi:type="dcterms:W3CDTF">2017-11-22T14:26:20Z</dcterms:created>
  <dcterms:modified xsi:type="dcterms:W3CDTF">2023-01-30T10:04:03Z</dcterms:modified>
</cp:coreProperties>
</file>